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worldbankgroup-my.sharepoint.com/personal/aproite1_worldbank_org/Documents/A_Paper/2_Contractual_Debt/"/>
    </mc:Choice>
  </mc:AlternateContent>
  <xr:revisionPtr revIDLastSave="360" documentId="8_{9188C40B-3C49-403F-AB3E-DEA8B9B36074}" xr6:coauthVersionLast="47" xr6:coauthVersionMax="47" xr10:uidLastSave="{6F613E37-0CC5-4969-9AB6-41E6FB8D52B8}"/>
  <bookViews>
    <workbookView xWindow="-110" yWindow="-110" windowWidth="19420" windowHeight="10420" xr2:uid="{793741AB-1E7B-4E38-9FEF-4FADF6FD9449}"/>
  </bookViews>
  <sheets>
    <sheet name="Index" sheetId="2" r:id="rId1"/>
    <sheet name="Box 1" sheetId="3" r:id="rId2"/>
    <sheet name="Box 2" sheetId="10" r:id="rId3"/>
    <sheet name="Box 3" sheetId="18" r:id="rId4"/>
    <sheet name="Box 4" sheetId="5" r:id="rId5"/>
    <sheet name="Box 5" sheetId="23" r:id="rId6"/>
    <sheet name="Box 6" sheetId="8" r:id="rId7"/>
    <sheet name="Box 7" sheetId="4" r:id="rId8"/>
    <sheet name="Box 8" sheetId="13" r:id="rId9"/>
    <sheet name="Box 9" sheetId="12" r:id="rId10"/>
    <sheet name="Box 10" sheetId="17" r:id="rId11"/>
    <sheet name="Box 11" sheetId="24" r:id="rId12"/>
    <sheet name="Box 12" sheetId="25" r:id="rId13"/>
    <sheet name="Box 13" sheetId="27" r:id="rId14"/>
    <sheet name="Box 14" sheetId="28" r:id="rId15"/>
    <sheet name="Box 15" sheetId="26" r:id="rId16"/>
  </sheets>
  <externalReferences>
    <externalReference r:id="rId17"/>
    <externalReference r:id="rId18"/>
    <externalReference r:id="rId19"/>
    <externalReference r:id="rId20"/>
  </externalReferences>
  <definedNames>
    <definedName name="_Toc129097332" localSheetId="10">'Box 10'!$A$1</definedName>
    <definedName name="Data_base">[1]Sintético!$A$36</definedName>
    <definedName name="data_de_assinatura" localSheetId="12">#REF!</definedName>
    <definedName name="data_de_assinatura" localSheetId="15">#REF!</definedName>
    <definedName name="data_de_assinatura">#REF!</definedName>
    <definedName name="_xlnm.Database" localSheetId="12">#REF!</definedName>
    <definedName name="_xlnm.Database" localSheetId="15">#REF!</definedName>
    <definedName name="_xlnm.Database">#REF!</definedName>
    <definedName name="dt" localSheetId="12">#REF!</definedName>
    <definedName name="dt" localSheetId="15">#REF!</definedName>
    <definedName name="dt">#REF!</definedName>
    <definedName name="f" localSheetId="12">#REF!</definedName>
    <definedName name="f" localSheetId="15">#REF!</definedName>
    <definedName name="f">#REF!</definedName>
    <definedName name="feriados">[2]Feriados!$A$2:$A$119</definedName>
    <definedName name="fgg" localSheetId="12">#REF!</definedName>
    <definedName name="fgg" localSheetId="15">#REF!</definedName>
    <definedName name="fgg">#REF!</definedName>
    <definedName name="inicio_inad" localSheetId="12">#REF!</definedName>
    <definedName name="inicio_inad" localSheetId="15">#REF!</definedName>
    <definedName name="inicio_inad">#REF!</definedName>
    <definedName name="intCriterios">'[3]Dias Úteis'!$A$2:$A$2627</definedName>
    <definedName name="intSoma">'[3]Dias Úteis'!$B$2:$B$2627</definedName>
    <definedName name="Nome_empresa" localSheetId="12">#REF!</definedName>
    <definedName name="Nome_empresa" localSheetId="15">#REF!</definedName>
    <definedName name="Nome_empresa">#REF!</definedName>
    <definedName name="TabAux">[4]SELIC!#REF!</definedName>
    <definedName name="te" localSheetId="12">#REF!</definedName>
    <definedName name="te" localSheetId="15">#REF!</definedName>
    <definedName name="te">#REF!</definedName>
    <definedName name="termino_inad" localSheetId="12">#REF!</definedName>
    <definedName name="termino_inad" localSheetId="15">#REF!</definedName>
    <definedName name="termino_inad">#REF!</definedName>
    <definedName name="valor" localSheetId="12">#REF!</definedName>
    <definedName name="valor" localSheetId="15">#REF!</definedName>
    <definedName name="valor">#REF!</definedName>
    <definedName name="valor_do_contrato" localSheetId="12">#REF!</definedName>
    <definedName name="valor_do_contrato" localSheetId="15">#REF!</definedName>
    <definedName name="valor_do_contrat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3" i="27" l="1"/>
  <c r="I64" i="27" s="1"/>
  <c r="I65" i="27" s="1"/>
  <c r="I66" i="27" s="1"/>
  <c r="I62" i="27"/>
  <c r="I61" i="27"/>
  <c r="I24" i="27"/>
  <c r="I25" i="27" s="1"/>
  <c r="I26" i="27" s="1"/>
  <c r="I27" i="27" s="1"/>
  <c r="I28" i="27" s="1"/>
  <c r="I29" i="27" s="1"/>
  <c r="I30" i="27" s="1"/>
  <c r="I31" i="27" s="1"/>
  <c r="I32" i="27" s="1"/>
  <c r="I33" i="27" s="1"/>
  <c r="I34" i="27" s="1"/>
  <c r="I35" i="27" s="1"/>
  <c r="I36" i="27" s="1"/>
  <c r="I37" i="27" s="1"/>
  <c r="I38" i="27" s="1"/>
  <c r="I39" i="27" s="1"/>
  <c r="I40" i="27" s="1"/>
  <c r="I41" i="27" s="1"/>
  <c r="I42" i="27" s="1"/>
  <c r="I43" i="27" s="1"/>
  <c r="I44" i="27" s="1"/>
  <c r="I45" i="27" s="1"/>
  <c r="I46" i="27" s="1"/>
  <c r="I47" i="27" s="1"/>
  <c r="I48" i="27" s="1"/>
  <c r="I49" i="27" s="1"/>
  <c r="I50" i="27" s="1"/>
  <c r="I51" i="27" s="1"/>
  <c r="I52" i="27" s="1"/>
  <c r="I53" i="27" s="1"/>
  <c r="I54" i="27" s="1"/>
  <c r="I55" i="27" s="1"/>
  <c r="I56" i="27" s="1"/>
  <c r="I57" i="27" s="1"/>
  <c r="I58" i="27" s="1"/>
  <c r="I59" i="27" s="1"/>
  <c r="I60" i="27" s="1"/>
  <c r="I23" i="27"/>
  <c r="I22" i="27"/>
  <c r="G10" i="27"/>
  <c r="B3" i="23" l="1"/>
  <c r="B9" i="8" l="1"/>
  <c r="H21" i="28" l="1"/>
  <c r="B39" i="4" l="1"/>
  <c r="A39" i="4"/>
  <c r="A40" i="4" s="1"/>
  <c r="C34" i="4"/>
  <c r="C35" i="4" s="1"/>
  <c r="C36" i="4" s="1"/>
  <c r="C37" i="4" s="1"/>
  <c r="C38" i="4" s="1"/>
  <c r="C39" i="4" s="1"/>
  <c r="C40" i="4" s="1"/>
  <c r="C41" i="4" s="1"/>
  <c r="C33" i="4"/>
  <c r="A32" i="4"/>
  <c r="A33" i="4" s="1"/>
  <c r="B28" i="4"/>
  <c r="A28" i="4"/>
  <c r="B26" i="4"/>
  <c r="A26" i="4"/>
  <c r="I24" i="4"/>
  <c r="J24" i="4" s="1"/>
  <c r="B24" i="4"/>
  <c r="A24" i="4"/>
  <c r="I23" i="4"/>
  <c r="J23" i="4" s="1"/>
  <c r="A23" i="4"/>
  <c r="A25" i="4" s="1"/>
  <c r="I22" i="4"/>
  <c r="J22" i="4" s="1"/>
  <c r="G22" i="4"/>
  <c r="E23" i="4" s="1"/>
  <c r="B22" i="4"/>
  <c r="A22" i="4"/>
  <c r="I21" i="4"/>
  <c r="J21" i="4" s="1"/>
  <c r="H21" i="4"/>
  <c r="H22" i="4" s="1"/>
  <c r="G21" i="4"/>
  <c r="E22" i="4" s="1"/>
  <c r="A21" i="4"/>
  <c r="C32" i="8"/>
  <c r="C33" i="8" s="1"/>
  <c r="C34" i="8" s="1"/>
  <c r="C35" i="8" s="1"/>
  <c r="C36" i="8" s="1"/>
  <c r="C37" i="8" s="1"/>
  <c r="C38" i="8" s="1"/>
  <c r="C39" i="8" s="1"/>
  <c r="C40" i="8" s="1"/>
  <c r="B27" i="8"/>
  <c r="B25" i="8"/>
  <c r="B23" i="8"/>
  <c r="A22" i="8"/>
  <c r="A24" i="8" s="1"/>
  <c r="B21" i="8"/>
  <c r="A21" i="8"/>
  <c r="G20" i="8"/>
  <c r="H20" i="8" s="1"/>
  <c r="A20" i="8"/>
  <c r="I20" i="8" s="1"/>
  <c r="J20" i="8" s="1"/>
  <c r="G8" i="8"/>
  <c r="F5" i="8"/>
  <c r="J4" i="8"/>
  <c r="J5" i="8" s="1"/>
  <c r="J6" i="8" s="1"/>
  <c r="F20" i="8" l="1"/>
  <c r="A27" i="4"/>
  <c r="I25" i="4"/>
  <c r="J25" i="4" s="1"/>
  <c r="I26" i="4"/>
  <c r="J26" i="4" s="1"/>
  <c r="A41" i="4"/>
  <c r="I41" i="4" s="1"/>
  <c r="J41" i="4" s="1"/>
  <c r="F41" i="4" s="1"/>
  <c r="I40" i="4"/>
  <c r="J40" i="4" s="1"/>
  <c r="F40" i="4" s="1"/>
  <c r="A34" i="4"/>
  <c r="I33" i="4"/>
  <c r="J33" i="4" s="1"/>
  <c r="F33" i="4" s="1"/>
  <c r="H23" i="4"/>
  <c r="F23" i="4"/>
  <c r="F21" i="4"/>
  <c r="F22" i="4"/>
  <c r="K23" i="4" s="1"/>
  <c r="G23" i="4"/>
  <c r="A26" i="8"/>
  <c r="A23" i="8"/>
  <c r="I23" i="8" s="1"/>
  <c r="J23" i="8" s="1"/>
  <c r="F6" i="8"/>
  <c r="I21" i="8"/>
  <c r="G21" i="8"/>
  <c r="I22" i="8"/>
  <c r="J22" i="8" s="1"/>
  <c r="I34" i="4" l="1"/>
  <c r="J34" i="4" s="1"/>
  <c r="F34" i="4" s="1"/>
  <c r="A35" i="4"/>
  <c r="G24" i="4"/>
  <c r="E24" i="4"/>
  <c r="F24" i="4"/>
  <c r="H24" i="4"/>
  <c r="A29" i="4"/>
  <c r="I27" i="4"/>
  <c r="J27" i="4" s="1"/>
  <c r="I28" i="4"/>
  <c r="J28" i="4" s="1"/>
  <c r="G22" i="8"/>
  <c r="E22" i="8"/>
  <c r="A25" i="8"/>
  <c r="I25" i="8" s="1"/>
  <c r="J25" i="8" s="1"/>
  <c r="F7" i="8"/>
  <c r="A27" i="8" s="1"/>
  <c r="I27" i="8" s="1"/>
  <c r="J27" i="8" s="1"/>
  <c r="H21" i="8"/>
  <c r="J21" i="8"/>
  <c r="F21" i="8" s="1"/>
  <c r="E21" i="8"/>
  <c r="I24" i="8"/>
  <c r="J24" i="8" s="1"/>
  <c r="A28" i="8"/>
  <c r="I26" i="8"/>
  <c r="J26" i="8" s="1"/>
  <c r="A30" i="4" l="1"/>
  <c r="I29" i="4"/>
  <c r="J29" i="4" s="1"/>
  <c r="I35" i="4"/>
  <c r="J35" i="4" s="1"/>
  <c r="F35" i="4" s="1"/>
  <c r="A36" i="4"/>
  <c r="H25" i="4"/>
  <c r="F25" i="4"/>
  <c r="E25" i="4"/>
  <c r="G25" i="4"/>
  <c r="H22" i="8"/>
  <c r="F22" i="8"/>
  <c r="A29" i="8"/>
  <c r="I28" i="8"/>
  <c r="J28" i="8" s="1"/>
  <c r="K22" i="8"/>
  <c r="G23" i="8"/>
  <c r="E23" i="8"/>
  <c r="K25" i="4" l="1"/>
  <c r="H26" i="4"/>
  <c r="F26" i="4"/>
  <c r="I36" i="4"/>
  <c r="J36" i="4" s="1"/>
  <c r="F36" i="4" s="1"/>
  <c r="A37" i="4"/>
  <c r="E26" i="4"/>
  <c r="G26" i="4"/>
  <c r="I30" i="4"/>
  <c r="J30" i="4" s="1"/>
  <c r="A31" i="4"/>
  <c r="G24" i="8"/>
  <c r="E24" i="8"/>
  <c r="A30" i="8"/>
  <c r="I29" i="8"/>
  <c r="J29" i="8" s="1"/>
  <c r="H23" i="8"/>
  <c r="F23" i="8"/>
  <c r="I31" i="4" l="1"/>
  <c r="J31" i="4" s="1"/>
  <c r="I32" i="4"/>
  <c r="J32" i="4" s="1"/>
  <c r="E27" i="4"/>
  <c r="G27" i="4"/>
  <c r="A38" i="4"/>
  <c r="I37" i="4"/>
  <c r="J37" i="4" s="1"/>
  <c r="F37" i="4" s="1"/>
  <c r="H27" i="4"/>
  <c r="F27" i="4"/>
  <c r="H24" i="8"/>
  <c r="F24" i="8"/>
  <c r="K24" i="8" s="1"/>
  <c r="I30" i="8"/>
  <c r="J30" i="8" s="1"/>
  <c r="G25" i="8"/>
  <c r="E25" i="8"/>
  <c r="K27" i="4" l="1"/>
  <c r="F28" i="4"/>
  <c r="H28" i="4"/>
  <c r="G28" i="4"/>
  <c r="E28" i="4"/>
  <c r="I38" i="4"/>
  <c r="J38" i="4" s="1"/>
  <c r="F38" i="4" s="1"/>
  <c r="I39" i="4"/>
  <c r="J39" i="4" s="1"/>
  <c r="F39" i="4" s="1"/>
  <c r="G26" i="8"/>
  <c r="E26" i="8"/>
  <c r="H25" i="8"/>
  <c r="F25" i="8"/>
  <c r="E29" i="4" l="1"/>
  <c r="G29" i="4"/>
  <c r="F29" i="4"/>
  <c r="H29" i="4"/>
  <c r="H26" i="8"/>
  <c r="F26" i="8"/>
  <c r="K26" i="8" s="1"/>
  <c r="G27" i="8"/>
  <c r="E27" i="8"/>
  <c r="K29" i="4" l="1"/>
  <c r="H30" i="4"/>
  <c r="F30" i="4"/>
  <c r="E30" i="4"/>
  <c r="K30" i="4" s="1"/>
  <c r="G30" i="4"/>
  <c r="H27" i="8"/>
  <c r="F27" i="8"/>
  <c r="G28" i="8"/>
  <c r="E28" i="8"/>
  <c r="E31" i="4" l="1"/>
  <c r="G31" i="4"/>
  <c r="F31" i="4"/>
  <c r="H31" i="4"/>
  <c r="F32" i="4" s="1"/>
  <c r="G29" i="8"/>
  <c r="E29" i="8"/>
  <c r="H28" i="8"/>
  <c r="F28" i="8"/>
  <c r="K28" i="8" s="1"/>
  <c r="D32" i="4" l="1"/>
  <c r="G32" i="4"/>
  <c r="E32" i="4"/>
  <c r="K31" i="4"/>
  <c r="G30" i="8"/>
  <c r="E30" i="8"/>
  <c r="H29" i="8"/>
  <c r="F29" i="8"/>
  <c r="K29" i="8" s="1"/>
  <c r="E33" i="4" l="1"/>
  <c r="D33" i="4"/>
  <c r="K33" i="4" s="1"/>
  <c r="K32" i="4"/>
  <c r="D31" i="8"/>
  <c r="H30" i="8"/>
  <c r="F30" i="8"/>
  <c r="K30" i="8" s="1"/>
  <c r="G33" i="4" l="1"/>
  <c r="G31" i="8"/>
  <c r="E34" i="4" l="1"/>
  <c r="D34" i="4"/>
  <c r="K34" i="4" s="1"/>
  <c r="G34" i="4" l="1"/>
  <c r="D35" i="4" l="1"/>
  <c r="K35" i="4" s="1"/>
  <c r="E35" i="4"/>
  <c r="G35" i="4" l="1"/>
  <c r="E36" i="4" l="1"/>
  <c r="D36" i="4"/>
  <c r="K36" i="4" s="1"/>
  <c r="G36" i="4" l="1"/>
  <c r="E37" i="4" l="1"/>
  <c r="D37" i="4"/>
  <c r="K37" i="4" s="1"/>
  <c r="G37" i="4" l="1"/>
  <c r="E38" i="4" l="1"/>
  <c r="D38" i="4"/>
  <c r="K38" i="4" s="1"/>
  <c r="G38" i="4" l="1"/>
  <c r="D39" i="4" l="1"/>
  <c r="K39" i="4" s="1"/>
  <c r="E39" i="4"/>
  <c r="G39" i="4" l="1"/>
  <c r="E40" i="4" l="1"/>
  <c r="D40" i="4"/>
  <c r="K40" i="4" l="1"/>
  <c r="G40" i="4"/>
  <c r="E41" i="4" l="1"/>
  <c r="D41" i="4"/>
  <c r="K41" i="4" s="1"/>
  <c r="G41" i="4"/>
  <c r="J6" i="28" l="1"/>
  <c r="G20" i="28"/>
  <c r="F20" i="28"/>
  <c r="H15" i="28"/>
  <c r="H16" i="28"/>
  <c r="H17" i="28"/>
  <c r="H18" i="28"/>
  <c r="H14" i="28"/>
  <c r="G11" i="28"/>
  <c r="G10" i="28"/>
  <c r="G9" i="28"/>
  <c r="G8" i="28"/>
  <c r="G7" i="28"/>
  <c r="G6" i="28"/>
  <c r="G5" i="28"/>
  <c r="C1038" i="28"/>
  <c r="H20" i="28" l="1"/>
  <c r="I20" i="28" s="1"/>
  <c r="I15" i="28"/>
  <c r="K15" i="28" s="1"/>
  <c r="L15" i="28" s="1"/>
  <c r="I16" i="28"/>
  <c r="K16" i="28" s="1"/>
  <c r="L16" i="28" s="1"/>
  <c r="I14" i="28"/>
  <c r="I18" i="28"/>
  <c r="K18" i="28" s="1"/>
  <c r="L18" i="28" s="1"/>
  <c r="I17" i="28"/>
  <c r="K17" i="28" s="1"/>
  <c r="L17" i="28" s="1"/>
  <c r="K20" i="28" l="1"/>
  <c r="L21" i="28" s="1"/>
  <c r="K14" i="28"/>
  <c r="L14" i="28" s="1"/>
  <c r="L22" i="28" s="1"/>
  <c r="O31" i="27" l="1"/>
  <c r="O30" i="27"/>
  <c r="O29" i="27"/>
  <c r="N31" i="27"/>
  <c r="M31" i="27"/>
  <c r="N30" i="27"/>
  <c r="M30" i="27"/>
  <c r="N29" i="27"/>
  <c r="M29" i="27"/>
  <c r="M16" i="27"/>
  <c r="E20" i="27"/>
  <c r="E21" i="27" s="1"/>
  <c r="G21" i="27" s="1"/>
  <c r="E10" i="27"/>
  <c r="H7" i="27"/>
  <c r="H6" i="27"/>
  <c r="H5" i="27"/>
  <c r="C1135" i="27"/>
  <c r="C1136" i="27" s="1"/>
  <c r="C1038" i="27"/>
  <c r="F7" i="12"/>
  <c r="B14" i="4"/>
  <c r="J35" i="26"/>
  <c r="J36" i="26" s="1"/>
  <c r="J37" i="26" s="1"/>
  <c r="J38" i="26" s="1"/>
  <c r="J39" i="26" s="1"/>
  <c r="J40" i="26" s="1"/>
  <c r="J41" i="26" s="1"/>
  <c r="J42" i="26" s="1"/>
  <c r="J43" i="26" s="1"/>
  <c r="J44" i="26" s="1"/>
  <c r="J45" i="26" s="1"/>
  <c r="J46" i="26" s="1"/>
  <c r="J47" i="26" s="1"/>
  <c r="J48" i="26" s="1"/>
  <c r="J49" i="26" s="1"/>
  <c r="J50" i="26" s="1"/>
  <c r="J51" i="26" s="1"/>
  <c r="J52" i="26" s="1"/>
  <c r="J53" i="26" s="1"/>
  <c r="J54" i="26" s="1"/>
  <c r="J55" i="26" s="1"/>
  <c r="J56" i="26" s="1"/>
  <c r="J57" i="26" s="1"/>
  <c r="B10" i="26"/>
  <c r="G18" i="26"/>
  <c r="G19" i="26" s="1"/>
  <c r="G20" i="26" s="1"/>
  <c r="G21" i="26" s="1"/>
  <c r="G22" i="26" s="1"/>
  <c r="G23" i="26" s="1"/>
  <c r="G24" i="26" s="1"/>
  <c r="G25" i="26" s="1"/>
  <c r="G26" i="26" s="1"/>
  <c r="G27" i="26" s="1"/>
  <c r="G28" i="26" s="1"/>
  <c r="G29" i="26" s="1"/>
  <c r="G30" i="26" s="1"/>
  <c r="G31" i="26" s="1"/>
  <c r="B16" i="26"/>
  <c r="C16" i="26" s="1"/>
  <c r="A16" i="26"/>
  <c r="A17" i="26" s="1"/>
  <c r="D17" i="26" s="1"/>
  <c r="E17" i="26" s="1"/>
  <c r="F17" i="26" s="1"/>
  <c r="E6" i="26"/>
  <c r="B4" i="26" s="1"/>
  <c r="H20" i="27" l="1"/>
  <c r="M15" i="27"/>
  <c r="E22" i="27"/>
  <c r="I21" i="27"/>
  <c r="G32" i="26"/>
  <c r="G58" i="26" s="1"/>
  <c r="G59" i="26" s="1"/>
  <c r="G60" i="26" s="1"/>
  <c r="G61" i="26" s="1"/>
  <c r="G62" i="26" s="1"/>
  <c r="G63" i="26" s="1"/>
  <c r="G64" i="26" s="1"/>
  <c r="G65" i="26" s="1"/>
  <c r="G66" i="26" s="1"/>
  <c r="G67" i="26" s="1"/>
  <c r="G68" i="26" s="1"/>
  <c r="G69" i="26" s="1"/>
  <c r="G70" i="26" s="1"/>
  <c r="G71" i="26" s="1"/>
  <c r="G72" i="26" s="1"/>
  <c r="G73" i="26" s="1"/>
  <c r="G74" i="26" s="1"/>
  <c r="G75" i="26" s="1"/>
  <c r="G76" i="26" s="1"/>
  <c r="G77" i="26" s="1"/>
  <c r="G78" i="26" s="1"/>
  <c r="G79" i="26" s="1"/>
  <c r="G80" i="26" s="1"/>
  <c r="G81" i="26" s="1"/>
  <c r="G82" i="26" s="1"/>
  <c r="G83" i="26" s="1"/>
  <c r="G84" i="26" s="1"/>
  <c r="G85" i="26" s="1"/>
  <c r="G86" i="26" s="1"/>
  <c r="G87" i="26" s="1"/>
  <c r="G88" i="26" s="1"/>
  <c r="G89" i="26" s="1"/>
  <c r="G90" i="26" s="1"/>
  <c r="G91" i="26" s="1"/>
  <c r="G92" i="26" s="1"/>
  <c r="G93" i="26" s="1"/>
  <c r="G94" i="26" s="1"/>
  <c r="G95" i="26" s="1"/>
  <c r="H17" i="26"/>
  <c r="C17" i="26" s="1"/>
  <c r="A18" i="26"/>
  <c r="M14" i="27" l="1"/>
  <c r="N15" i="27" s="1"/>
  <c r="N16" i="27"/>
  <c r="E23" i="27"/>
  <c r="F22" i="27"/>
  <c r="H18" i="26"/>
  <c r="C18" i="26" s="1"/>
  <c r="H19" i="26" s="1"/>
  <c r="I17" i="26"/>
  <c r="A19" i="26"/>
  <c r="D18" i="26"/>
  <c r="E18" i="26" s="1"/>
  <c r="F18" i="26" s="1"/>
  <c r="M13" i="27" l="1"/>
  <c r="N14" i="27" s="1"/>
  <c r="F23" i="27"/>
  <c r="E24" i="27"/>
  <c r="C19" i="26"/>
  <c r="H20" i="26" s="1"/>
  <c r="C20" i="26" s="1"/>
  <c r="H21" i="26" s="1"/>
  <c r="I18" i="26"/>
  <c r="D19" i="26"/>
  <c r="E19" i="26" s="1"/>
  <c r="F19" i="26" s="1"/>
  <c r="I19" i="26" s="1"/>
  <c r="A20" i="26"/>
  <c r="M12" i="27" l="1"/>
  <c r="N13" i="27" s="1"/>
  <c r="E25" i="27"/>
  <c r="F24" i="27"/>
  <c r="C21" i="26"/>
  <c r="H22" i="26" s="1"/>
  <c r="D20" i="26"/>
  <c r="E20" i="26" s="1"/>
  <c r="F20" i="26" s="1"/>
  <c r="I20" i="26" s="1"/>
  <c r="A21" i="26"/>
  <c r="M11" i="27" l="1"/>
  <c r="N12" i="27" s="1"/>
  <c r="E26" i="27"/>
  <c r="F25" i="27"/>
  <c r="D21" i="26"/>
  <c r="E21" i="26" s="1"/>
  <c r="F21" i="26" s="1"/>
  <c r="I21" i="26" s="1"/>
  <c r="A22" i="26"/>
  <c r="C22" i="26"/>
  <c r="H23" i="26" s="1"/>
  <c r="M10" i="27" l="1"/>
  <c r="N11" i="27" s="1"/>
  <c r="F26" i="27"/>
  <c r="E27" i="27"/>
  <c r="C23" i="26"/>
  <c r="H24" i="26" s="1"/>
  <c r="D22" i="26"/>
  <c r="E22" i="26" s="1"/>
  <c r="F22" i="26" s="1"/>
  <c r="I22" i="26" s="1"/>
  <c r="A23" i="26"/>
  <c r="M9" i="27" l="1"/>
  <c r="E28" i="27"/>
  <c r="F27" i="27"/>
  <c r="C24" i="26"/>
  <c r="H25" i="26" s="1"/>
  <c r="D23" i="26"/>
  <c r="E23" i="26" s="1"/>
  <c r="F23" i="26" s="1"/>
  <c r="I23" i="26" s="1"/>
  <c r="A24" i="26"/>
  <c r="M8" i="27" l="1"/>
  <c r="N10" i="27"/>
  <c r="F28" i="27"/>
  <c r="E29" i="27"/>
  <c r="D24" i="26"/>
  <c r="E24" i="26" s="1"/>
  <c r="F24" i="26" s="1"/>
  <c r="I24" i="26" s="1"/>
  <c r="A25" i="26"/>
  <c r="C25" i="26"/>
  <c r="H26" i="26" s="1"/>
  <c r="N9" i="27" l="1"/>
  <c r="M7" i="27"/>
  <c r="E30" i="27"/>
  <c r="F29" i="27"/>
  <c r="C26" i="26"/>
  <c r="H27" i="26" s="1"/>
  <c r="D25" i="26"/>
  <c r="E25" i="26" s="1"/>
  <c r="F25" i="26" s="1"/>
  <c r="I25" i="26" s="1"/>
  <c r="A26" i="26"/>
  <c r="N8" i="27" l="1"/>
  <c r="M6" i="27"/>
  <c r="O6" i="27" s="1"/>
  <c r="Q6" i="27" s="1"/>
  <c r="F30" i="27"/>
  <c r="E31" i="27"/>
  <c r="D26" i="26"/>
  <c r="E26" i="26" s="1"/>
  <c r="F26" i="26" s="1"/>
  <c r="I26" i="26" s="1"/>
  <c r="A27" i="26"/>
  <c r="C27" i="26"/>
  <c r="H28" i="26" s="1"/>
  <c r="N7" i="27" l="1"/>
  <c r="M5" i="27"/>
  <c r="P5" i="27" s="1"/>
  <c r="F31" i="27"/>
  <c r="E32" i="27"/>
  <c r="C28" i="26"/>
  <c r="H29" i="26" s="1"/>
  <c r="D27" i="26"/>
  <c r="E27" i="26" s="1"/>
  <c r="F27" i="26" s="1"/>
  <c r="I27" i="26" s="1"/>
  <c r="A28" i="26"/>
  <c r="Q7" i="27" l="1"/>
  <c r="E33" i="27"/>
  <c r="F32" i="27"/>
  <c r="C29" i="26"/>
  <c r="H30" i="26" s="1"/>
  <c r="D28" i="26"/>
  <c r="E28" i="26" s="1"/>
  <c r="F28" i="26" s="1"/>
  <c r="I28" i="26" s="1"/>
  <c r="A29" i="26"/>
  <c r="Q8" i="27" l="1"/>
  <c r="Q9" i="27" s="1"/>
  <c r="Q10" i="27" s="1"/>
  <c r="Q11" i="27" s="1"/>
  <c r="Q12" i="27" s="1"/>
  <c r="Q13" i="27" s="1"/>
  <c r="Q14" i="27" s="1"/>
  <c r="Q15" i="27" s="1"/>
  <c r="Q16" i="27" s="1"/>
  <c r="E34" i="27"/>
  <c r="F33" i="27"/>
  <c r="C30" i="26"/>
  <c r="H31" i="26" s="1"/>
  <c r="D29" i="26"/>
  <c r="E29" i="26" s="1"/>
  <c r="F29" i="26" s="1"/>
  <c r="I29" i="26" s="1"/>
  <c r="A30" i="26"/>
  <c r="P31" i="27" l="1"/>
  <c r="Q31" i="27" s="1"/>
  <c r="P30" i="27"/>
  <c r="Q30" i="27" s="1"/>
  <c r="P29" i="27"/>
  <c r="Q29" i="27" s="1"/>
  <c r="F34" i="27"/>
  <c r="E35" i="27"/>
  <c r="C31" i="26"/>
  <c r="H32" i="26" s="1"/>
  <c r="D30" i="26"/>
  <c r="E30" i="26" s="1"/>
  <c r="F30" i="26" s="1"/>
  <c r="I30" i="26" s="1"/>
  <c r="A31" i="26"/>
  <c r="Q32" i="27" l="1"/>
  <c r="E36" i="27"/>
  <c r="F35" i="27"/>
  <c r="C32" i="26"/>
  <c r="D31" i="26"/>
  <c r="E31" i="26" s="1"/>
  <c r="F31" i="26" s="1"/>
  <c r="I31" i="26" s="1"/>
  <c r="A32" i="26"/>
  <c r="E37" i="27" l="1"/>
  <c r="F36" i="27"/>
  <c r="D32" i="26"/>
  <c r="E32" i="26" s="1"/>
  <c r="F32" i="26" s="1"/>
  <c r="I32" i="26" s="1"/>
  <c r="A34" i="26"/>
  <c r="E38" i="27" l="1"/>
  <c r="F37" i="27"/>
  <c r="A35" i="26"/>
  <c r="D34" i="26"/>
  <c r="E34" i="26" s="1"/>
  <c r="F34" i="26" s="1"/>
  <c r="C34" i="26" s="1"/>
  <c r="E39" i="27" l="1"/>
  <c r="F38" i="27"/>
  <c r="A36" i="26"/>
  <c r="D35" i="26"/>
  <c r="E35" i="26" s="1"/>
  <c r="I34" i="26"/>
  <c r="F39" i="27" l="1"/>
  <c r="E40" i="27"/>
  <c r="D36" i="26"/>
  <c r="E36" i="26" s="1"/>
  <c r="A37" i="26"/>
  <c r="F35" i="26"/>
  <c r="E41" i="27" l="1"/>
  <c r="F40" i="27"/>
  <c r="I35" i="26"/>
  <c r="C35" i="26"/>
  <c r="D37" i="26"/>
  <c r="E37" i="26" s="1"/>
  <c r="A38" i="26"/>
  <c r="E42" i="27" l="1"/>
  <c r="F41" i="27"/>
  <c r="A39" i="26"/>
  <c r="D38" i="26"/>
  <c r="E38" i="26" s="1"/>
  <c r="F36" i="26"/>
  <c r="F42" i="27" l="1"/>
  <c r="E43" i="27"/>
  <c r="I36" i="26"/>
  <c r="C36" i="26"/>
  <c r="A40" i="26"/>
  <c r="D39" i="26"/>
  <c r="E39" i="26" s="1"/>
  <c r="E44" i="27" l="1"/>
  <c r="F43" i="27"/>
  <c r="F37" i="26"/>
  <c r="I37" i="26" s="1"/>
  <c r="D40" i="26"/>
  <c r="E40" i="26" s="1"/>
  <c r="A41" i="26"/>
  <c r="F44" i="27" l="1"/>
  <c r="E45" i="27"/>
  <c r="C37" i="26"/>
  <c r="D41" i="26"/>
  <c r="E41" i="26" s="1"/>
  <c r="A42" i="26"/>
  <c r="E46" i="27" l="1"/>
  <c r="F45" i="27"/>
  <c r="A43" i="26"/>
  <c r="D42" i="26"/>
  <c r="E42" i="26" s="1"/>
  <c r="F38" i="26"/>
  <c r="I38" i="26" s="1"/>
  <c r="E47" i="27" l="1"/>
  <c r="F46" i="27"/>
  <c r="C38" i="26"/>
  <c r="A44" i="26"/>
  <c r="D43" i="26"/>
  <c r="E43" i="26" s="1"/>
  <c r="F47" i="27" l="1"/>
  <c r="E48" i="27"/>
  <c r="D44" i="26"/>
  <c r="E44" i="26" s="1"/>
  <c r="A45" i="26"/>
  <c r="F39" i="26"/>
  <c r="I39" i="26" s="1"/>
  <c r="E49" i="27" l="1"/>
  <c r="F48" i="27"/>
  <c r="C39" i="26"/>
  <c r="D45" i="26"/>
  <c r="E45" i="26" s="1"/>
  <c r="A46" i="26"/>
  <c r="E50" i="27" l="1"/>
  <c r="F49" i="27"/>
  <c r="A47" i="26"/>
  <c r="D46" i="26"/>
  <c r="E46" i="26" s="1"/>
  <c r="F40" i="26"/>
  <c r="I40" i="26" s="1"/>
  <c r="F50" i="27" l="1"/>
  <c r="E51" i="27"/>
  <c r="C40" i="26"/>
  <c r="A48" i="26"/>
  <c r="D47" i="26"/>
  <c r="E47" i="26" s="1"/>
  <c r="E52" i="27" l="1"/>
  <c r="F51" i="27"/>
  <c r="D48" i="26"/>
  <c r="E48" i="26" s="1"/>
  <c r="A49" i="26"/>
  <c r="F41" i="26"/>
  <c r="I41" i="26" s="1"/>
  <c r="E53" i="27" l="1"/>
  <c r="F52" i="27"/>
  <c r="C41" i="26"/>
  <c r="D49" i="26"/>
  <c r="E49" i="26" s="1"/>
  <c r="A50" i="26"/>
  <c r="E54" i="27" l="1"/>
  <c r="F53" i="27"/>
  <c r="A51" i="26"/>
  <c r="D50" i="26"/>
  <c r="E50" i="26" s="1"/>
  <c r="F42" i="26"/>
  <c r="E55" i="27" l="1"/>
  <c r="F54" i="27"/>
  <c r="I42" i="26"/>
  <c r="C42" i="26"/>
  <c r="A52" i="26"/>
  <c r="D51" i="26"/>
  <c r="E51" i="26" s="1"/>
  <c r="F55" i="27" l="1"/>
  <c r="E56" i="27"/>
  <c r="D52" i="26"/>
  <c r="E52" i="26" s="1"/>
  <c r="A53" i="26"/>
  <c r="F43" i="26"/>
  <c r="I43" i="26" s="1"/>
  <c r="E57" i="27" l="1"/>
  <c r="F56" i="27"/>
  <c r="C43" i="26"/>
  <c r="D53" i="26"/>
  <c r="E53" i="26" s="1"/>
  <c r="A54" i="26"/>
  <c r="E58" i="27" l="1"/>
  <c r="F57" i="27"/>
  <c r="A55" i="26"/>
  <c r="D54" i="26"/>
  <c r="E54" i="26" s="1"/>
  <c r="F44" i="26"/>
  <c r="I44" i="26" s="1"/>
  <c r="F58" i="27" l="1"/>
  <c r="E59" i="27"/>
  <c r="C44" i="26"/>
  <c r="A56" i="26"/>
  <c r="D55" i="26"/>
  <c r="E55" i="26" s="1"/>
  <c r="E60" i="27" l="1"/>
  <c r="F59" i="27"/>
  <c r="D56" i="26"/>
  <c r="E56" i="26" s="1"/>
  <c r="A57" i="26"/>
  <c r="F45" i="26"/>
  <c r="I45" i="26" s="1"/>
  <c r="E61" i="27" l="1"/>
  <c r="F60" i="27"/>
  <c r="C45" i="26"/>
  <c r="D57" i="26"/>
  <c r="E57" i="26" s="1"/>
  <c r="A58" i="26"/>
  <c r="E62" i="27" l="1"/>
  <c r="F61" i="27"/>
  <c r="H10" i="27" s="1"/>
  <c r="I10" i="27" s="1"/>
  <c r="D58" i="26"/>
  <c r="E58" i="26" s="1"/>
  <c r="A59" i="26"/>
  <c r="F46" i="26"/>
  <c r="I46" i="26" s="1"/>
  <c r="E63" i="27" l="1"/>
  <c r="F62" i="27"/>
  <c r="C46" i="26"/>
  <c r="D59" i="26"/>
  <c r="E59" i="26" s="1"/>
  <c r="A60" i="26"/>
  <c r="F63" i="27" l="1"/>
  <c r="E64" i="27"/>
  <c r="D60" i="26"/>
  <c r="E60" i="26" s="1"/>
  <c r="A61" i="26"/>
  <c r="F47" i="26"/>
  <c r="I47" i="26" s="1"/>
  <c r="E65" i="27" l="1"/>
  <c r="F64" i="27"/>
  <c r="C47" i="26"/>
  <c r="D61" i="26"/>
  <c r="E61" i="26" s="1"/>
  <c r="A62" i="26"/>
  <c r="E66" i="27" l="1"/>
  <c r="F66" i="27" s="1"/>
  <c r="F65" i="27"/>
  <c r="D62" i="26"/>
  <c r="E62" i="26" s="1"/>
  <c r="A63" i="26"/>
  <c r="F48" i="26"/>
  <c r="I48" i="26" s="1"/>
  <c r="C48" i="26" l="1"/>
  <c r="D63" i="26"/>
  <c r="E63" i="26" s="1"/>
  <c r="A64" i="26"/>
  <c r="D64" i="26" l="1"/>
  <c r="E64" i="26" s="1"/>
  <c r="A65" i="26"/>
  <c r="F49" i="26"/>
  <c r="I49" i="26" s="1"/>
  <c r="C49" i="26" l="1"/>
  <c r="D65" i="26"/>
  <c r="E65" i="26" s="1"/>
  <c r="A66" i="26"/>
  <c r="D66" i="26" l="1"/>
  <c r="E66" i="26" s="1"/>
  <c r="A67" i="26"/>
  <c r="F50" i="26"/>
  <c r="I50" i="26" s="1"/>
  <c r="C50" i="26" l="1"/>
  <c r="D67" i="26"/>
  <c r="E67" i="26" s="1"/>
  <c r="A68" i="26"/>
  <c r="D68" i="26" l="1"/>
  <c r="E68" i="26" s="1"/>
  <c r="A69" i="26"/>
  <c r="F51" i="26"/>
  <c r="I51" i="26" s="1"/>
  <c r="C51" i="26" l="1"/>
  <c r="D69" i="26"/>
  <c r="E69" i="26" s="1"/>
  <c r="A70" i="26"/>
  <c r="D70" i="26" l="1"/>
  <c r="E70" i="26" s="1"/>
  <c r="A71" i="26"/>
  <c r="F52" i="26"/>
  <c r="I52" i="26" s="1"/>
  <c r="C52" i="26" l="1"/>
  <c r="D71" i="26"/>
  <c r="E71" i="26" s="1"/>
  <c r="A72" i="26"/>
  <c r="D72" i="26" l="1"/>
  <c r="E72" i="26" s="1"/>
  <c r="A73" i="26"/>
  <c r="F53" i="26"/>
  <c r="I53" i="26" s="1"/>
  <c r="C53" i="26" l="1"/>
  <c r="D73" i="26"/>
  <c r="E73" i="26" s="1"/>
  <c r="A74" i="26"/>
  <c r="D74" i="26" l="1"/>
  <c r="E74" i="26" s="1"/>
  <c r="A75" i="26"/>
  <c r="F54" i="26"/>
  <c r="I54" i="26" s="1"/>
  <c r="C54" i="26" l="1"/>
  <c r="D75" i="26"/>
  <c r="E75" i="26" s="1"/>
  <c r="A76" i="26"/>
  <c r="D76" i="26" l="1"/>
  <c r="E76" i="26" s="1"/>
  <c r="A77" i="26"/>
  <c r="F55" i="26"/>
  <c r="I55" i="26" s="1"/>
  <c r="C55" i="26" l="1"/>
  <c r="D77" i="26"/>
  <c r="E77" i="26" s="1"/>
  <c r="A78" i="26"/>
  <c r="D78" i="26" l="1"/>
  <c r="E78" i="26" s="1"/>
  <c r="A79" i="26"/>
  <c r="F56" i="26"/>
  <c r="I56" i="26" s="1"/>
  <c r="C56" i="26" l="1"/>
  <c r="D79" i="26"/>
  <c r="E79" i="26" s="1"/>
  <c r="A80" i="26"/>
  <c r="D80" i="26" l="1"/>
  <c r="E80" i="26" s="1"/>
  <c r="A81" i="26"/>
  <c r="F57" i="26"/>
  <c r="I57" i="26" s="1"/>
  <c r="C57" i="26" l="1"/>
  <c r="H58" i="26" s="1"/>
  <c r="D81" i="26"/>
  <c r="E81" i="26" s="1"/>
  <c r="A82" i="26"/>
  <c r="C58" i="26" l="1"/>
  <c r="H59" i="26" s="1"/>
  <c r="F58" i="26"/>
  <c r="D82" i="26"/>
  <c r="E82" i="26" s="1"/>
  <c r="A83" i="26"/>
  <c r="I58" i="26" l="1"/>
  <c r="C59" i="26"/>
  <c r="H60" i="26" s="1"/>
  <c r="F59" i="26"/>
  <c r="D83" i="26"/>
  <c r="E83" i="26" s="1"/>
  <c r="A84" i="26"/>
  <c r="I59" i="26" l="1"/>
  <c r="C60" i="26"/>
  <c r="H61" i="26" s="1"/>
  <c r="F60" i="26"/>
  <c r="D84" i="26"/>
  <c r="E84" i="26" s="1"/>
  <c r="A85" i="26"/>
  <c r="I60" i="26" l="1"/>
  <c r="D85" i="26"/>
  <c r="E85" i="26" s="1"/>
  <c r="A86" i="26"/>
  <c r="C61" i="26"/>
  <c r="H62" i="26" s="1"/>
  <c r="F61" i="26"/>
  <c r="I61" i="26" l="1"/>
  <c r="C62" i="26"/>
  <c r="H63" i="26" s="1"/>
  <c r="F62" i="26"/>
  <c r="I62" i="26" s="1"/>
  <c r="D86" i="26"/>
  <c r="E86" i="26" s="1"/>
  <c r="A87" i="26"/>
  <c r="D87" i="26" l="1"/>
  <c r="E87" i="26" s="1"/>
  <c r="A88" i="26"/>
  <c r="C63" i="26"/>
  <c r="H64" i="26" s="1"/>
  <c r="F63" i="26"/>
  <c r="I63" i="26" l="1"/>
  <c r="C64" i="26"/>
  <c r="H65" i="26" s="1"/>
  <c r="F64" i="26"/>
  <c r="D88" i="26"/>
  <c r="E88" i="26" s="1"/>
  <c r="A89" i="26"/>
  <c r="I64" i="26" l="1"/>
  <c r="C65" i="26"/>
  <c r="H66" i="26" s="1"/>
  <c r="F65" i="26"/>
  <c r="D89" i="26"/>
  <c r="E89" i="26" s="1"/>
  <c r="A90" i="26"/>
  <c r="C66" i="26" l="1"/>
  <c r="H67" i="26" s="1"/>
  <c r="I65" i="26"/>
  <c r="D90" i="26"/>
  <c r="E90" i="26" s="1"/>
  <c r="A91" i="26"/>
  <c r="F66" i="26"/>
  <c r="C67" i="26" l="1"/>
  <c r="H68" i="26" s="1"/>
  <c r="I66" i="26"/>
  <c r="F67" i="26"/>
  <c r="D91" i="26"/>
  <c r="E91" i="26" s="1"/>
  <c r="A92" i="26"/>
  <c r="C68" i="26" l="1"/>
  <c r="H69" i="26" s="1"/>
  <c r="I67" i="26"/>
  <c r="D92" i="26"/>
  <c r="E92" i="26" s="1"/>
  <c r="A93" i="26"/>
  <c r="F68" i="26"/>
  <c r="C69" i="26" l="1"/>
  <c r="H70" i="26" s="1"/>
  <c r="I68" i="26"/>
  <c r="F69" i="26"/>
  <c r="D93" i="26"/>
  <c r="E93" i="26" s="1"/>
  <c r="A94" i="26"/>
  <c r="C70" i="26" l="1"/>
  <c r="H71" i="26" s="1"/>
  <c r="I69" i="26"/>
  <c r="F70" i="26"/>
  <c r="D94" i="26"/>
  <c r="E94" i="26" s="1"/>
  <c r="A95" i="26"/>
  <c r="C71" i="26" l="1"/>
  <c r="H72" i="26" s="1"/>
  <c r="I70" i="26"/>
  <c r="D95" i="26"/>
  <c r="E95" i="26" s="1"/>
  <c r="F71" i="26"/>
  <c r="I71" i="26" l="1"/>
  <c r="C72" i="26"/>
  <c r="H73" i="26" s="1"/>
  <c r="F72" i="26"/>
  <c r="C73" i="26" l="1"/>
  <c r="H74" i="26" s="1"/>
  <c r="I72" i="26"/>
  <c r="F73" i="26"/>
  <c r="I73" i="26" l="1"/>
  <c r="C74" i="26"/>
  <c r="H75" i="26" s="1"/>
  <c r="F74" i="26"/>
  <c r="C75" i="26" l="1"/>
  <c r="H76" i="26" s="1"/>
  <c r="I74" i="26"/>
  <c r="F75" i="26"/>
  <c r="C76" i="26" l="1"/>
  <c r="H77" i="26" s="1"/>
  <c r="I75" i="26"/>
  <c r="F76" i="26"/>
  <c r="I76" i="26" s="1"/>
  <c r="C77" i="26" l="1"/>
  <c r="H78" i="26" s="1"/>
  <c r="F77" i="26"/>
  <c r="I77" i="26" l="1"/>
  <c r="C78" i="26"/>
  <c r="H79" i="26" s="1"/>
  <c r="F78" i="26"/>
  <c r="I78" i="26" l="1"/>
  <c r="C79" i="26"/>
  <c r="H80" i="26" s="1"/>
  <c r="F79" i="26"/>
  <c r="I79" i="26" s="1"/>
  <c r="C80" i="26" l="1"/>
  <c r="H81" i="26" s="1"/>
  <c r="F80" i="26"/>
  <c r="I80" i="26" l="1"/>
  <c r="C81" i="26"/>
  <c r="H82" i="26" s="1"/>
  <c r="F81" i="26"/>
  <c r="C82" i="26" l="1"/>
  <c r="H83" i="26" s="1"/>
  <c r="I81" i="26"/>
  <c r="F82" i="26"/>
  <c r="C83" i="26" l="1"/>
  <c r="H84" i="26" s="1"/>
  <c r="I82" i="26"/>
  <c r="F83" i="26"/>
  <c r="C84" i="26" l="1"/>
  <c r="H85" i="26" s="1"/>
  <c r="I83" i="26"/>
  <c r="F84" i="26"/>
  <c r="C85" i="26" l="1"/>
  <c r="H86" i="26" s="1"/>
  <c r="I84" i="26"/>
  <c r="F85" i="26"/>
  <c r="C86" i="26" l="1"/>
  <c r="H87" i="26" s="1"/>
  <c r="I85" i="26"/>
  <c r="F86" i="26"/>
  <c r="C87" i="26" l="1"/>
  <c r="H88" i="26" s="1"/>
  <c r="I86" i="26"/>
  <c r="F87" i="26"/>
  <c r="I87" i="26" l="1"/>
  <c r="C88" i="26"/>
  <c r="H89" i="26" s="1"/>
  <c r="F88" i="26"/>
  <c r="C89" i="26" l="1"/>
  <c r="H90" i="26" s="1"/>
  <c r="I88" i="26"/>
  <c r="F89" i="26"/>
  <c r="I89" i="26" l="1"/>
  <c r="C90" i="26"/>
  <c r="H91" i="26" s="1"/>
  <c r="F90" i="26"/>
  <c r="I90" i="26" s="1"/>
  <c r="C91" i="26" l="1"/>
  <c r="H92" i="26" s="1"/>
  <c r="F91" i="26"/>
  <c r="I91" i="26" s="1"/>
  <c r="C92" i="26" l="1"/>
  <c r="H93" i="26" s="1"/>
  <c r="F92" i="26"/>
  <c r="I92" i="26" l="1"/>
  <c r="C93" i="26"/>
  <c r="H94" i="26" s="1"/>
  <c r="F93" i="26"/>
  <c r="I93" i="26" l="1"/>
  <c r="C94" i="26"/>
  <c r="H95" i="26" s="1"/>
  <c r="F94" i="26"/>
  <c r="I94" i="26" l="1"/>
  <c r="C95" i="26"/>
  <c r="F95" i="26"/>
  <c r="I16" i="25"/>
  <c r="I17" i="25" s="1"/>
  <c r="I18" i="25" s="1"/>
  <c r="I19" i="25" s="1"/>
  <c r="I20" i="25" s="1"/>
  <c r="I21" i="25" s="1"/>
  <c r="I22" i="25" s="1"/>
  <c r="I23" i="25" s="1"/>
  <c r="I24" i="25" s="1"/>
  <c r="I25" i="25" s="1"/>
  <c r="I26" i="25" s="1"/>
  <c r="I27" i="25" s="1"/>
  <c r="I28" i="25" s="1"/>
  <c r="I29" i="25" s="1"/>
  <c r="I30" i="25" s="1"/>
  <c r="I31" i="25" s="1"/>
  <c r="I32" i="25" s="1"/>
  <c r="I33" i="25" s="1"/>
  <c r="I34" i="25" s="1"/>
  <c r="I35" i="25" s="1"/>
  <c r="I36" i="25" s="1"/>
  <c r="I37" i="25" s="1"/>
  <c r="I38" i="25" s="1"/>
  <c r="I39" i="25" s="1"/>
  <c r="I40" i="25" s="1"/>
  <c r="I41" i="25" s="1"/>
  <c r="I42" i="25" s="1"/>
  <c r="I43" i="25" s="1"/>
  <c r="I44" i="25" s="1"/>
  <c r="I45" i="25" s="1"/>
  <c r="C22" i="25"/>
  <c r="C23" i="25"/>
  <c r="C24" i="25"/>
  <c r="D24" i="25" s="1"/>
  <c r="C25" i="25"/>
  <c r="C26" i="25"/>
  <c r="C27" i="25"/>
  <c r="C28" i="25"/>
  <c r="C29" i="25"/>
  <c r="C30" i="25"/>
  <c r="C31" i="25"/>
  <c r="C32" i="25"/>
  <c r="C33" i="25"/>
  <c r="D33" i="25" s="1"/>
  <c r="C34" i="25"/>
  <c r="D34" i="25" s="1"/>
  <c r="C35" i="25"/>
  <c r="C36" i="25"/>
  <c r="D36" i="25" s="1"/>
  <c r="C37" i="25"/>
  <c r="C38" i="25"/>
  <c r="C39" i="25"/>
  <c r="C40" i="25"/>
  <c r="C41" i="25"/>
  <c r="C42" i="25"/>
  <c r="D42" i="25" s="1"/>
  <c r="C43" i="25"/>
  <c r="C44" i="25"/>
  <c r="D44" i="25" s="1"/>
  <c r="C45" i="25"/>
  <c r="C21" i="25"/>
  <c r="D21" i="25" s="1"/>
  <c r="C20" i="25"/>
  <c r="C19" i="25"/>
  <c r="C18" i="25"/>
  <c r="C17" i="25"/>
  <c r="C16" i="25"/>
  <c r="C15" i="25"/>
  <c r="B10" i="25"/>
  <c r="B15" i="25"/>
  <c r="E15" i="25" s="1"/>
  <c r="A15" i="25"/>
  <c r="A16" i="25" s="1"/>
  <c r="A17" i="25" s="1"/>
  <c r="A18" i="25" s="1"/>
  <c r="F18" i="25" s="1"/>
  <c r="G6" i="25"/>
  <c r="B4" i="25" s="1"/>
  <c r="C43" i="24"/>
  <c r="C42" i="24"/>
  <c r="C41" i="24"/>
  <c r="C40" i="24"/>
  <c r="C39" i="24"/>
  <c r="C38" i="24"/>
  <c r="C37" i="24"/>
  <c r="C36" i="24"/>
  <c r="C35" i="24"/>
  <c r="C34" i="24"/>
  <c r="C33" i="24"/>
  <c r="C32" i="24"/>
  <c r="C31" i="24"/>
  <c r="C30" i="24"/>
  <c r="C29" i="24"/>
  <c r="C28" i="24"/>
  <c r="C27" i="24"/>
  <c r="C26" i="24"/>
  <c r="C25" i="24"/>
  <c r="C24" i="24"/>
  <c r="C23" i="24"/>
  <c r="C22" i="24"/>
  <c r="C21" i="24"/>
  <c r="C20" i="24"/>
  <c r="C19" i="24"/>
  <c r="C18" i="24"/>
  <c r="C17" i="24"/>
  <c r="F16" i="24"/>
  <c r="F17" i="24" s="1"/>
  <c r="F18" i="24" s="1"/>
  <c r="F19" i="24" s="1"/>
  <c r="F20" i="24" s="1"/>
  <c r="F21" i="24" s="1"/>
  <c r="F22" i="24" s="1"/>
  <c r="F23" i="24" s="1"/>
  <c r="F24" i="24" s="1"/>
  <c r="F25" i="24" s="1"/>
  <c r="F26" i="24" s="1"/>
  <c r="F27" i="24" s="1"/>
  <c r="F28" i="24" s="1"/>
  <c r="F29" i="24" s="1"/>
  <c r="F30" i="24" s="1"/>
  <c r="F31" i="24" s="1"/>
  <c r="F32" i="24" s="1"/>
  <c r="F33" i="24" s="1"/>
  <c r="F34" i="24" s="1"/>
  <c r="F35" i="24" s="1"/>
  <c r="F36" i="24" s="1"/>
  <c r="F37" i="24" s="1"/>
  <c r="F38" i="24" s="1"/>
  <c r="F39" i="24" s="1"/>
  <c r="F40" i="24" s="1"/>
  <c r="F41" i="24" s="1"/>
  <c r="F42" i="24" s="1"/>
  <c r="F43" i="24" s="1"/>
  <c r="C16" i="24"/>
  <c r="C15" i="24"/>
  <c r="C14" i="24"/>
  <c r="A14" i="24"/>
  <c r="E14" i="24" s="1"/>
  <c r="G14" i="24" s="1"/>
  <c r="C13" i="24"/>
  <c r="B13" i="24"/>
  <c r="D13" i="24" s="1"/>
  <c r="A13" i="24"/>
  <c r="B9" i="24"/>
  <c r="D5" i="24"/>
  <c r="B3" i="24" s="1"/>
  <c r="D25" i="25" l="1"/>
  <c r="D19" i="25"/>
  <c r="D38" i="25"/>
  <c r="D30" i="25"/>
  <c r="D16" i="25"/>
  <c r="D43" i="25"/>
  <c r="D26" i="25"/>
  <c r="D40" i="25"/>
  <c r="D32" i="25"/>
  <c r="D39" i="25"/>
  <c r="D31" i="25"/>
  <c r="D23" i="25"/>
  <c r="D45" i="25"/>
  <c r="D37" i="25"/>
  <c r="D29" i="25"/>
  <c r="D35" i="25"/>
  <c r="D17" i="25"/>
  <c r="D41" i="25"/>
  <c r="D18" i="25"/>
  <c r="D27" i="25"/>
  <c r="F17" i="25"/>
  <c r="D20" i="25"/>
  <c r="D22" i="25"/>
  <c r="D28" i="25"/>
  <c r="I14" i="24"/>
  <c r="K14" i="24" s="1"/>
  <c r="I95" i="26"/>
  <c r="G18" i="25"/>
  <c r="A19" i="25"/>
  <c r="F19" i="25" s="1"/>
  <c r="G17" i="25"/>
  <c r="F16" i="25"/>
  <c r="G16" i="25" s="1"/>
  <c r="H16" i="25" s="1"/>
  <c r="H14" i="24"/>
  <c r="D14" i="24" s="1"/>
  <c r="A15" i="24"/>
  <c r="J16" i="25" l="1"/>
  <c r="E16" i="25" s="1"/>
  <c r="J17" i="25" s="1"/>
  <c r="E17" i="25" s="1"/>
  <c r="J18" i="25" s="1"/>
  <c r="G19" i="25"/>
  <c r="A20" i="25"/>
  <c r="F20" i="25" s="1"/>
  <c r="A16" i="24"/>
  <c r="E15" i="24"/>
  <c r="G15" i="24" s="1"/>
  <c r="I15" i="24" s="1"/>
  <c r="L14" i="24"/>
  <c r="M14" i="24" s="1"/>
  <c r="H15" i="24"/>
  <c r="D15" i="24" s="1"/>
  <c r="J14" i="24"/>
  <c r="K16" i="25" l="1"/>
  <c r="H17" i="25"/>
  <c r="K17" i="25" s="1"/>
  <c r="A21" i="25"/>
  <c r="F21" i="25" s="1"/>
  <c r="G20" i="25"/>
  <c r="H16" i="24"/>
  <c r="L15" i="24"/>
  <c r="D16" i="24"/>
  <c r="K15" i="24"/>
  <c r="J15" i="24"/>
  <c r="A17" i="24"/>
  <c r="E16" i="24"/>
  <c r="G16" i="24" s="1"/>
  <c r="I16" i="24" s="1"/>
  <c r="H18" i="25" l="1"/>
  <c r="K18" i="25" s="1"/>
  <c r="A22" i="25"/>
  <c r="F22" i="25" s="1"/>
  <c r="G21" i="25"/>
  <c r="K16" i="24"/>
  <c r="J16" i="24"/>
  <c r="M15" i="24"/>
  <c r="E17" i="24"/>
  <c r="G17" i="24" s="1"/>
  <c r="I17" i="24" s="1"/>
  <c r="A18" i="24"/>
  <c r="H17" i="24"/>
  <c r="L16" i="24"/>
  <c r="G22" i="25" l="1"/>
  <c r="A23" i="25"/>
  <c r="F23" i="25" s="1"/>
  <c r="H18" i="24"/>
  <c r="L17" i="24"/>
  <c r="J17" i="24"/>
  <c r="K17" i="24"/>
  <c r="M17" i="24" s="1"/>
  <c r="D17" i="24"/>
  <c r="D18" i="24" s="1"/>
  <c r="A19" i="24"/>
  <c r="E18" i="24"/>
  <c r="G18" i="24" s="1"/>
  <c r="M16" i="24"/>
  <c r="I18" i="24" l="1"/>
  <c r="A24" i="25"/>
  <c r="F24" i="25" s="1"/>
  <c r="G23" i="25"/>
  <c r="E19" i="24"/>
  <c r="G19" i="24" s="1"/>
  <c r="I19" i="24" s="1"/>
  <c r="A20" i="24"/>
  <c r="J18" i="24"/>
  <c r="K18" i="24"/>
  <c r="H19" i="24"/>
  <c r="L18" i="24"/>
  <c r="G24" i="25" l="1"/>
  <c r="A25" i="25"/>
  <c r="F25" i="25" s="1"/>
  <c r="H20" i="24"/>
  <c r="L19" i="24"/>
  <c r="A21" i="24"/>
  <c r="E20" i="24"/>
  <c r="G20" i="24" s="1"/>
  <c r="K19" i="24"/>
  <c r="M19" i="24" s="1"/>
  <c r="J19" i="24"/>
  <c r="M18" i="24"/>
  <c r="D19" i="24"/>
  <c r="D20" i="24" l="1"/>
  <c r="G25" i="25"/>
  <c r="A26" i="25"/>
  <c r="F26" i="25" s="1"/>
  <c r="I20" i="24"/>
  <c r="E21" i="24"/>
  <c r="G21" i="24" s="1"/>
  <c r="I21" i="24" s="1"/>
  <c r="A22" i="24"/>
  <c r="H21" i="24"/>
  <c r="L20" i="24"/>
  <c r="G26" i="25" l="1"/>
  <c r="A27" i="25"/>
  <c r="F27" i="25" s="1"/>
  <c r="H22" i="24"/>
  <c r="L21" i="24"/>
  <c r="J21" i="24"/>
  <c r="K21" i="24"/>
  <c r="K20" i="24"/>
  <c r="M20" i="24" s="1"/>
  <c r="J20" i="24"/>
  <c r="A23" i="24"/>
  <c r="E22" i="24"/>
  <c r="G22" i="24" s="1"/>
  <c r="D21" i="24"/>
  <c r="D22" i="24" s="1"/>
  <c r="I22" i="24" l="1"/>
  <c r="M21" i="24"/>
  <c r="A28" i="25"/>
  <c r="F28" i="25" s="1"/>
  <c r="G27" i="25"/>
  <c r="E23" i="24"/>
  <c r="G23" i="24" s="1"/>
  <c r="I23" i="24" s="1"/>
  <c r="A24" i="24"/>
  <c r="J22" i="24"/>
  <c r="K22" i="24"/>
  <c r="H23" i="24"/>
  <c r="D23" i="24" s="1"/>
  <c r="L22" i="24"/>
  <c r="A29" i="25" l="1"/>
  <c r="F29" i="25" s="1"/>
  <c r="G28" i="25"/>
  <c r="M22" i="24"/>
  <c r="A25" i="24"/>
  <c r="E24" i="24"/>
  <c r="G24" i="24" s="1"/>
  <c r="I24" i="24" s="1"/>
  <c r="H24" i="24"/>
  <c r="L23" i="24"/>
  <c r="K23" i="24"/>
  <c r="J23" i="24"/>
  <c r="M23" i="24" l="1"/>
  <c r="A30" i="25"/>
  <c r="F30" i="25" s="1"/>
  <c r="G29" i="25"/>
  <c r="H25" i="24"/>
  <c r="L24" i="24"/>
  <c r="K24" i="24"/>
  <c r="J24" i="24"/>
  <c r="E25" i="24"/>
  <c r="G25" i="24" s="1"/>
  <c r="A26" i="24"/>
  <c r="D24" i="24"/>
  <c r="D25" i="24" l="1"/>
  <c r="I25" i="24"/>
  <c r="K25" i="24" s="1"/>
  <c r="G30" i="25"/>
  <c r="A31" i="25"/>
  <c r="F31" i="25" s="1"/>
  <c r="A27" i="24"/>
  <c r="E26" i="24"/>
  <c r="G26" i="24" s="1"/>
  <c r="M24" i="24"/>
  <c r="H26" i="24"/>
  <c r="L25" i="24"/>
  <c r="I26" i="24" l="1"/>
  <c r="J26" i="24" s="1"/>
  <c r="J25" i="24"/>
  <c r="A32" i="25"/>
  <c r="F32" i="25" s="1"/>
  <c r="G31" i="25"/>
  <c r="M25" i="24"/>
  <c r="H27" i="24"/>
  <c r="L26" i="24"/>
  <c r="D26" i="24"/>
  <c r="D27" i="24" s="1"/>
  <c r="E27" i="24"/>
  <c r="G27" i="24" s="1"/>
  <c r="A28" i="24"/>
  <c r="K26" i="24" l="1"/>
  <c r="M26" i="24"/>
  <c r="I27" i="24"/>
  <c r="K27" i="24" s="1"/>
  <c r="G32" i="25"/>
  <c r="A33" i="25"/>
  <c r="F33" i="25" s="1"/>
  <c r="A29" i="24"/>
  <c r="E28" i="24"/>
  <c r="G28" i="24" s="1"/>
  <c r="I28" i="24" s="1"/>
  <c r="H28" i="24"/>
  <c r="D28" i="24" s="1"/>
  <c r="L27" i="24"/>
  <c r="J27" i="24" l="1"/>
  <c r="G33" i="25"/>
  <c r="A34" i="25"/>
  <c r="F34" i="25" s="1"/>
  <c r="E29" i="24"/>
  <c r="G29" i="24" s="1"/>
  <c r="I29" i="24" s="1"/>
  <c r="A30" i="24"/>
  <c r="K28" i="24"/>
  <c r="J28" i="24"/>
  <c r="H29" i="24"/>
  <c r="L28" i="24"/>
  <c r="M27" i="24"/>
  <c r="M28" i="24" l="1"/>
  <c r="G34" i="25"/>
  <c r="A35" i="25"/>
  <c r="F35" i="25" s="1"/>
  <c r="H30" i="24"/>
  <c r="L29" i="24"/>
  <c r="J29" i="24"/>
  <c r="K29" i="24"/>
  <c r="A31" i="24"/>
  <c r="E30" i="24"/>
  <c r="G30" i="24" s="1"/>
  <c r="D29" i="24"/>
  <c r="M29" i="24" l="1"/>
  <c r="D30" i="24"/>
  <c r="I30" i="24"/>
  <c r="A36" i="25"/>
  <c r="F36" i="25" s="1"/>
  <c r="G35" i="25"/>
  <c r="K30" i="24"/>
  <c r="J30" i="24"/>
  <c r="E31" i="24"/>
  <c r="G31" i="24" s="1"/>
  <c r="I31" i="24" s="1"/>
  <c r="A32" i="24"/>
  <c r="H31" i="24"/>
  <c r="L30" i="24"/>
  <c r="A37" i="25" l="1"/>
  <c r="F37" i="25" s="1"/>
  <c r="G36" i="25"/>
  <c r="A33" i="24"/>
  <c r="E32" i="24"/>
  <c r="G32" i="24" s="1"/>
  <c r="I32" i="24" s="1"/>
  <c r="H32" i="24"/>
  <c r="L31" i="24"/>
  <c r="M30" i="24"/>
  <c r="J31" i="24"/>
  <c r="K31" i="24"/>
  <c r="D31" i="24"/>
  <c r="D32" i="24" l="1"/>
  <c r="M31" i="24"/>
  <c r="A38" i="25"/>
  <c r="F38" i="25" s="1"/>
  <c r="G37" i="25"/>
  <c r="E33" i="24"/>
  <c r="G33" i="24" s="1"/>
  <c r="A34" i="24"/>
  <c r="H33" i="24"/>
  <c r="L32" i="24"/>
  <c r="K32" i="24"/>
  <c r="J32" i="24"/>
  <c r="M32" i="24" l="1"/>
  <c r="D33" i="24"/>
  <c r="I33" i="24"/>
  <c r="K33" i="24" s="1"/>
  <c r="G38" i="25"/>
  <c r="A39" i="25"/>
  <c r="F39" i="25" s="1"/>
  <c r="A35" i="24"/>
  <c r="E34" i="24"/>
  <c r="G34" i="24" s="1"/>
  <c r="I34" i="24" s="1"/>
  <c r="J33" i="24"/>
  <c r="H34" i="24"/>
  <c r="L33" i="24"/>
  <c r="G39" i="25" l="1"/>
  <c r="A40" i="25"/>
  <c r="F40" i="25" s="1"/>
  <c r="K34" i="24"/>
  <c r="J34" i="24"/>
  <c r="M33" i="24"/>
  <c r="H35" i="24"/>
  <c r="L34" i="24"/>
  <c r="D34" i="24"/>
  <c r="D35" i="24" s="1"/>
  <c r="E35" i="24"/>
  <c r="G35" i="24" s="1"/>
  <c r="A36" i="24"/>
  <c r="I35" i="24" l="1"/>
  <c r="G40" i="25"/>
  <c r="A41" i="25"/>
  <c r="F41" i="25" s="1"/>
  <c r="A37" i="24"/>
  <c r="E36" i="24"/>
  <c r="G36" i="24" s="1"/>
  <c r="I36" i="24" s="1"/>
  <c r="J35" i="24"/>
  <c r="K35" i="24"/>
  <c r="H36" i="24"/>
  <c r="D36" i="24" s="1"/>
  <c r="L35" i="24"/>
  <c r="M34" i="24"/>
  <c r="G41" i="25" l="1"/>
  <c r="A42" i="25"/>
  <c r="F42" i="25" s="1"/>
  <c r="H37" i="24"/>
  <c r="L36" i="24"/>
  <c r="K36" i="24"/>
  <c r="M36" i="24" s="1"/>
  <c r="J36" i="24"/>
  <c r="M35" i="24"/>
  <c r="E37" i="24"/>
  <c r="G37" i="24" s="1"/>
  <c r="I37" i="24" s="1"/>
  <c r="A38" i="24"/>
  <c r="G42" i="25" l="1"/>
  <c r="A43" i="25"/>
  <c r="F43" i="25" s="1"/>
  <c r="A39" i="24"/>
  <c r="E38" i="24"/>
  <c r="G38" i="24" s="1"/>
  <c r="K37" i="24"/>
  <c r="J37" i="24"/>
  <c r="H38" i="24"/>
  <c r="L37" i="24"/>
  <c r="D37" i="24"/>
  <c r="I38" i="24" l="1"/>
  <c r="D38" i="24"/>
  <c r="A44" i="25"/>
  <c r="F44" i="25" s="1"/>
  <c r="G43" i="25"/>
  <c r="H39" i="24"/>
  <c r="L38" i="24"/>
  <c r="M37" i="24"/>
  <c r="K38" i="24"/>
  <c r="J38" i="24"/>
  <c r="E39" i="24"/>
  <c r="G39" i="24" s="1"/>
  <c r="A40" i="24"/>
  <c r="I39" i="24" l="1"/>
  <c r="M38" i="24"/>
  <c r="A45" i="25"/>
  <c r="F45" i="25" s="1"/>
  <c r="G44" i="25"/>
  <c r="K39" i="24"/>
  <c r="J39" i="24"/>
  <c r="A41" i="24"/>
  <c r="E40" i="24"/>
  <c r="G40" i="24" s="1"/>
  <c r="H40" i="24"/>
  <c r="L39" i="24"/>
  <c r="D39" i="24"/>
  <c r="D40" i="24" l="1"/>
  <c r="G45" i="25"/>
  <c r="I40" i="24"/>
  <c r="E41" i="24"/>
  <c r="G41" i="24" s="1"/>
  <c r="A42" i="24"/>
  <c r="H41" i="24"/>
  <c r="L40" i="24"/>
  <c r="M39" i="24"/>
  <c r="I41" i="24" l="1"/>
  <c r="K41" i="24" s="1"/>
  <c r="H42" i="24"/>
  <c r="L41" i="24"/>
  <c r="D41" i="24"/>
  <c r="A43" i="24"/>
  <c r="E43" i="24" s="1"/>
  <c r="G43" i="24" s="1"/>
  <c r="E42" i="24"/>
  <c r="G42" i="24" s="1"/>
  <c r="K40" i="24"/>
  <c r="M40" i="24" s="1"/>
  <c r="J40" i="24"/>
  <c r="M41" i="24" l="1"/>
  <c r="J41" i="24"/>
  <c r="D42" i="24"/>
  <c r="I43" i="24" s="1"/>
  <c r="K43" i="24" s="1"/>
  <c r="I42" i="24"/>
  <c r="H43" i="24"/>
  <c r="L43" i="24" s="1"/>
  <c r="L42" i="24"/>
  <c r="D43" i="24" l="1"/>
  <c r="K42" i="24"/>
  <c r="M42" i="24" s="1"/>
  <c r="J42" i="24"/>
  <c r="J43" i="24"/>
  <c r="M43" i="24"/>
  <c r="B24" i="23" l="1"/>
  <c r="A24" i="23"/>
  <c r="L21" i="23"/>
  <c r="B21" i="23"/>
  <c r="A21" i="23"/>
  <c r="D17" i="23"/>
  <c r="D18" i="23" s="1"/>
  <c r="A14" i="23"/>
  <c r="A15" i="23" s="1"/>
  <c r="E13" i="23"/>
  <c r="F13" i="23" s="1"/>
  <c r="H13" i="23" s="1"/>
  <c r="C12" i="23"/>
  <c r="C13" i="23" s="1"/>
  <c r="C14" i="23" s="1"/>
  <c r="C15" i="23" s="1"/>
  <c r="B12" i="23"/>
  <c r="A12" i="23"/>
  <c r="G5" i="23"/>
  <c r="A14" i="18"/>
  <c r="B14" i="18"/>
  <c r="D13" i="18"/>
  <c r="E6" i="18"/>
  <c r="B3" i="18" s="1"/>
  <c r="A13" i="18"/>
  <c r="A15" i="18" s="1"/>
  <c r="A16" i="18" s="1"/>
  <c r="A17" i="18" s="1"/>
  <c r="A18" i="18" s="1"/>
  <c r="A19" i="18" s="1"/>
  <c r="A20" i="18" s="1"/>
  <c r="A21" i="18" s="1"/>
  <c r="A22" i="18" s="1"/>
  <c r="A23" i="18" s="1"/>
  <c r="B12" i="18"/>
  <c r="C12" i="18" s="1"/>
  <c r="A12" i="18"/>
  <c r="A16" i="17"/>
  <c r="A15" i="17"/>
  <c r="K15" i="17" s="1"/>
  <c r="G18" i="17"/>
  <c r="G19" i="17" s="1"/>
  <c r="G20" i="17" s="1"/>
  <c r="G21" i="17" s="1"/>
  <c r="G22" i="17" s="1"/>
  <c r="G23" i="17" s="1"/>
  <c r="G24" i="17" s="1"/>
  <c r="G25" i="17" s="1"/>
  <c r="G26" i="17" s="1"/>
  <c r="G27" i="17" s="1"/>
  <c r="G28" i="17" s="1"/>
  <c r="G29" i="17" s="1"/>
  <c r="G30" i="17" s="1"/>
  <c r="G31" i="17" s="1"/>
  <c r="G32" i="17" s="1"/>
  <c r="G33" i="17" s="1"/>
  <c r="G34" i="17" s="1"/>
  <c r="G35" i="17" s="1"/>
  <c r="G36" i="17" s="1"/>
  <c r="G37" i="17" s="1"/>
  <c r="G38" i="17" s="1"/>
  <c r="G39" i="17" s="1"/>
  <c r="G40" i="17" s="1"/>
  <c r="G41" i="17" s="1"/>
  <c r="G42" i="17" s="1"/>
  <c r="G43" i="17" s="1"/>
  <c r="G44" i="17" s="1"/>
  <c r="G45" i="17" s="1"/>
  <c r="G46" i="17" s="1"/>
  <c r="S18" i="17"/>
  <c r="S19" i="17" s="1"/>
  <c r="S20" i="17" s="1"/>
  <c r="S21" i="17" s="1"/>
  <c r="S22" i="17" s="1"/>
  <c r="S23" i="17" s="1"/>
  <c r="S24" i="17" s="1"/>
  <c r="S25" i="17" s="1"/>
  <c r="S26" i="17" s="1"/>
  <c r="S27" i="17" s="1"/>
  <c r="S28" i="17" s="1"/>
  <c r="S29" i="17" s="1"/>
  <c r="S30" i="17" s="1"/>
  <c r="S31" i="17" s="1"/>
  <c r="S32" i="17" s="1"/>
  <c r="S33" i="17" s="1"/>
  <c r="S34" i="17" s="1"/>
  <c r="S35" i="17" s="1"/>
  <c r="S36" i="17" s="1"/>
  <c r="S37" i="17" s="1"/>
  <c r="S38" i="17" s="1"/>
  <c r="S39" i="17" s="1"/>
  <c r="S40" i="17" s="1"/>
  <c r="S41" i="17" s="1"/>
  <c r="S42" i="17" s="1"/>
  <c r="S43" i="17" s="1"/>
  <c r="S44" i="17" s="1"/>
  <c r="S45" i="17" s="1"/>
  <c r="S46" i="17" s="1"/>
  <c r="A17" i="17"/>
  <c r="B15" i="17"/>
  <c r="B17" i="17" s="1"/>
  <c r="B18" i="17" s="1"/>
  <c r="B19" i="17" s="1"/>
  <c r="B20" i="17" s="1"/>
  <c r="B21" i="17" s="1"/>
  <c r="B22" i="17" s="1"/>
  <c r="B23" i="17" s="1"/>
  <c r="B24" i="17" s="1"/>
  <c r="B25" i="17" s="1"/>
  <c r="B26" i="17" s="1"/>
  <c r="B27" i="17" s="1"/>
  <c r="B28" i="17" s="1"/>
  <c r="B29" i="17" s="1"/>
  <c r="B30" i="17" s="1"/>
  <c r="B31" i="17" s="1"/>
  <c r="B32" i="17" s="1"/>
  <c r="B33" i="17" s="1"/>
  <c r="B34" i="17" s="1"/>
  <c r="B35" i="17" s="1"/>
  <c r="B36" i="17" s="1"/>
  <c r="B37" i="17" s="1"/>
  <c r="B38" i="17" s="1"/>
  <c r="B39" i="17" s="1"/>
  <c r="B40" i="17" s="1"/>
  <c r="B41" i="17" s="1"/>
  <c r="B42" i="17" s="1"/>
  <c r="B43" i="17" s="1"/>
  <c r="B44" i="17" s="1"/>
  <c r="B45" i="17" s="1"/>
  <c r="B46" i="17" s="1"/>
  <c r="C13" i="18" l="1"/>
  <c r="C14" i="18" s="1"/>
  <c r="D15" i="18" s="1"/>
  <c r="C15" i="18" s="1"/>
  <c r="D16" i="18" s="1"/>
  <c r="I16" i="23"/>
  <c r="K13" i="23"/>
  <c r="L13" i="23" s="1"/>
  <c r="I13" i="23"/>
  <c r="A16" i="23"/>
  <c r="E16" i="23" s="1"/>
  <c r="F16" i="23" s="1"/>
  <c r="H16" i="23" s="1"/>
  <c r="K16" i="23" s="1"/>
  <c r="D19" i="23"/>
  <c r="E14" i="23"/>
  <c r="F14" i="23" s="1"/>
  <c r="H14" i="23" s="1"/>
  <c r="E15" i="23"/>
  <c r="F15" i="23" s="1"/>
  <c r="H15" i="23" s="1"/>
  <c r="L15" i="17"/>
  <c r="L17" i="17" s="1"/>
  <c r="L19" i="17" s="1"/>
  <c r="L21" i="17" s="1"/>
  <c r="L23" i="17" s="1"/>
  <c r="L25" i="17" s="1"/>
  <c r="L27" i="17" s="1"/>
  <c r="L29" i="17" s="1"/>
  <c r="L31" i="17" s="1"/>
  <c r="L33" i="17" s="1"/>
  <c r="L35" i="17" s="1"/>
  <c r="L37" i="17" s="1"/>
  <c r="L39" i="17" s="1"/>
  <c r="L41" i="17" s="1"/>
  <c r="L43" i="17" s="1"/>
  <c r="L45" i="17" s="1"/>
  <c r="K17" i="17"/>
  <c r="K16" i="17"/>
  <c r="A18" i="17"/>
  <c r="C17" i="17"/>
  <c r="D17" i="17" s="1"/>
  <c r="E17" i="17" s="1"/>
  <c r="F17" i="17" s="1"/>
  <c r="H17" i="17" s="1"/>
  <c r="C16" i="18" l="1"/>
  <c r="D17" i="18" s="1"/>
  <c r="C17" i="18" s="1"/>
  <c r="D18" i="18" s="1"/>
  <c r="D20" i="23"/>
  <c r="A17" i="23"/>
  <c r="K15" i="23"/>
  <c r="L15" i="23" s="1"/>
  <c r="I15" i="23"/>
  <c r="G16" i="23"/>
  <c r="C16" i="23" s="1"/>
  <c r="K14" i="23"/>
  <c r="L14" i="23" s="1"/>
  <c r="I14" i="23"/>
  <c r="L18" i="17"/>
  <c r="L20" i="17" s="1"/>
  <c r="L22" i="17" s="1"/>
  <c r="L24" i="17" s="1"/>
  <c r="L26" i="17" s="1"/>
  <c r="L28" i="17" s="1"/>
  <c r="L30" i="17" s="1"/>
  <c r="L32" i="17" s="1"/>
  <c r="L34" i="17" s="1"/>
  <c r="L36" i="17" s="1"/>
  <c r="L38" i="17" s="1"/>
  <c r="L40" i="17" s="1"/>
  <c r="L42" i="17" s="1"/>
  <c r="L44" i="17" s="1"/>
  <c r="L46" i="17" s="1"/>
  <c r="A19" i="17"/>
  <c r="C18" i="17"/>
  <c r="D18" i="17" s="1"/>
  <c r="E18" i="17" s="1"/>
  <c r="F18" i="17" s="1"/>
  <c r="H18" i="17" s="1"/>
  <c r="K18" i="17"/>
  <c r="M17" i="17"/>
  <c r="N17" i="17" s="1"/>
  <c r="O17" i="17" s="1"/>
  <c r="P17" i="17" s="1"/>
  <c r="R17" i="17" s="1"/>
  <c r="A18" i="23" l="1"/>
  <c r="E17" i="23"/>
  <c r="F17" i="23" s="1"/>
  <c r="H17" i="23" s="1"/>
  <c r="K17" i="23" s="1"/>
  <c r="D22" i="23"/>
  <c r="I17" i="23"/>
  <c r="G17" i="23" s="1"/>
  <c r="C17" i="23" s="1"/>
  <c r="L16" i="23"/>
  <c r="C18" i="18"/>
  <c r="D19" i="18" s="1"/>
  <c r="K19" i="17"/>
  <c r="M18" i="17"/>
  <c r="N18" i="17" s="1"/>
  <c r="O18" i="17" s="1"/>
  <c r="P18" i="17" s="1"/>
  <c r="R18" i="17" s="1"/>
  <c r="A20" i="17"/>
  <c r="C19" i="17"/>
  <c r="D19" i="17" s="1"/>
  <c r="E19" i="17" s="1"/>
  <c r="F19" i="17" s="1"/>
  <c r="H19" i="17" s="1"/>
  <c r="I18" i="23" l="1"/>
  <c r="G18" i="23" s="1"/>
  <c r="C18" i="23" s="1"/>
  <c r="L17" i="23"/>
  <c r="A19" i="23"/>
  <c r="D23" i="23"/>
  <c r="E18" i="23"/>
  <c r="F18" i="23" s="1"/>
  <c r="H18" i="23" s="1"/>
  <c r="K18" i="23" s="1"/>
  <c r="L18" i="23" s="1"/>
  <c r="C19" i="18"/>
  <c r="D20" i="18" s="1"/>
  <c r="A21" i="17"/>
  <c r="C20" i="17"/>
  <c r="D20" i="17" s="1"/>
  <c r="E20" i="17" s="1"/>
  <c r="F20" i="17" s="1"/>
  <c r="H20" i="17" s="1"/>
  <c r="K20" i="17"/>
  <c r="M19" i="17"/>
  <c r="N19" i="17" s="1"/>
  <c r="O19" i="17" s="1"/>
  <c r="P19" i="17" s="1"/>
  <c r="R19" i="17" s="1"/>
  <c r="I19" i="23" l="1"/>
  <c r="A20" i="23"/>
  <c r="E20" i="23" s="1"/>
  <c r="F20" i="23" s="1"/>
  <c r="E19" i="23"/>
  <c r="F19" i="23" s="1"/>
  <c r="H19" i="23" s="1"/>
  <c r="K19" i="23" s="1"/>
  <c r="D25" i="23"/>
  <c r="C20" i="18"/>
  <c r="D21" i="18" s="1"/>
  <c r="K21" i="17"/>
  <c r="M20" i="17"/>
  <c r="N20" i="17" s="1"/>
  <c r="O20" i="17" s="1"/>
  <c r="P20" i="17" s="1"/>
  <c r="R20" i="17" s="1"/>
  <c r="A22" i="17"/>
  <c r="C21" i="17"/>
  <c r="D21" i="17" s="1"/>
  <c r="E21" i="17" s="1"/>
  <c r="F21" i="17" s="1"/>
  <c r="H21" i="17" s="1"/>
  <c r="D26" i="23" l="1"/>
  <c r="J22" i="23"/>
  <c r="A22" i="23"/>
  <c r="G19" i="23"/>
  <c r="C19" i="23" s="1"/>
  <c r="C21" i="18"/>
  <c r="D22" i="18" s="1"/>
  <c r="A23" i="17"/>
  <c r="C22" i="17"/>
  <c r="D22" i="17" s="1"/>
  <c r="E22" i="17" s="1"/>
  <c r="F22" i="17" s="1"/>
  <c r="H22" i="17" s="1"/>
  <c r="K22" i="17"/>
  <c r="M21" i="17"/>
  <c r="N21" i="17" s="1"/>
  <c r="O21" i="17" s="1"/>
  <c r="P21" i="17" s="1"/>
  <c r="R21" i="17" s="1"/>
  <c r="A23" i="23" l="1"/>
  <c r="E23" i="23" s="1"/>
  <c r="F23" i="23" s="1"/>
  <c r="D27" i="23"/>
  <c r="I20" i="23"/>
  <c r="G20" i="23" s="1"/>
  <c r="C20" i="23" s="1"/>
  <c r="C21" i="23" s="1"/>
  <c r="L19" i="23"/>
  <c r="E22" i="23"/>
  <c r="F22" i="23" s="1"/>
  <c r="H20" i="23"/>
  <c r="K20" i="23" s="1"/>
  <c r="L20" i="23" s="1"/>
  <c r="C22" i="18"/>
  <c r="K23" i="17"/>
  <c r="M22" i="17"/>
  <c r="N22" i="17" s="1"/>
  <c r="O22" i="17" s="1"/>
  <c r="P22" i="17" s="1"/>
  <c r="R22" i="17" s="1"/>
  <c r="A24" i="17"/>
  <c r="C23" i="17"/>
  <c r="D23" i="17" s="1"/>
  <c r="E23" i="17" s="1"/>
  <c r="F23" i="17" s="1"/>
  <c r="H23" i="17" s="1"/>
  <c r="D23" i="18" l="1"/>
  <c r="C23" i="18" s="1"/>
  <c r="I22" i="23"/>
  <c r="G22" i="23" s="1"/>
  <c r="C22" i="23" s="1"/>
  <c r="H22" i="23"/>
  <c r="K22" i="23" s="1"/>
  <c r="L22" i="23" s="1"/>
  <c r="D28" i="23"/>
  <c r="A25" i="23"/>
  <c r="J25" i="23"/>
  <c r="A25" i="17"/>
  <c r="C24" i="17"/>
  <c r="D24" i="17" s="1"/>
  <c r="E24" i="17" s="1"/>
  <c r="F24" i="17" s="1"/>
  <c r="H24" i="17" s="1"/>
  <c r="K24" i="17"/>
  <c r="M23" i="17"/>
  <c r="N23" i="17" s="1"/>
  <c r="O23" i="17" s="1"/>
  <c r="P23" i="17" s="1"/>
  <c r="R23" i="17" s="1"/>
  <c r="I23" i="23" l="1"/>
  <c r="G23" i="23" s="1"/>
  <c r="C23" i="23" s="1"/>
  <c r="C24" i="23" s="1"/>
  <c r="H23" i="23"/>
  <c r="K23" i="23" s="1"/>
  <c r="A26" i="23"/>
  <c r="E26" i="23"/>
  <c r="F26" i="23" s="1"/>
  <c r="E25" i="23"/>
  <c r="F25" i="23" s="1"/>
  <c r="D29" i="23"/>
  <c r="K25" i="17"/>
  <c r="M24" i="17"/>
  <c r="N24" i="17" s="1"/>
  <c r="O24" i="17" s="1"/>
  <c r="P24" i="17" s="1"/>
  <c r="R24" i="17" s="1"/>
  <c r="A26" i="17"/>
  <c r="C25" i="17"/>
  <c r="D25" i="17" s="1"/>
  <c r="E25" i="17" s="1"/>
  <c r="F25" i="17" s="1"/>
  <c r="H25" i="17" s="1"/>
  <c r="I25" i="23" l="1"/>
  <c r="G25" i="23" s="1"/>
  <c r="C25" i="23" s="1"/>
  <c r="D30" i="23"/>
  <c r="A27" i="23"/>
  <c r="L23" i="23"/>
  <c r="H25" i="23"/>
  <c r="K25" i="23" s="1"/>
  <c r="A27" i="17"/>
  <c r="C26" i="17"/>
  <c r="D26" i="17" s="1"/>
  <c r="E26" i="17" s="1"/>
  <c r="F26" i="17" s="1"/>
  <c r="H26" i="17" s="1"/>
  <c r="K26" i="17"/>
  <c r="M25" i="17"/>
  <c r="N25" i="17" s="1"/>
  <c r="O25" i="17" s="1"/>
  <c r="P25" i="17" s="1"/>
  <c r="R25" i="17" s="1"/>
  <c r="I26" i="23" l="1"/>
  <c r="G26" i="23" s="1"/>
  <c r="C26" i="23" s="1"/>
  <c r="H26" i="23"/>
  <c r="K26" i="23" s="1"/>
  <c r="A28" i="23"/>
  <c r="E27" i="23"/>
  <c r="F27" i="23" s="1"/>
  <c r="D31" i="23"/>
  <c r="L25" i="23"/>
  <c r="A28" i="17"/>
  <c r="C27" i="17"/>
  <c r="D27" i="17" s="1"/>
  <c r="E27" i="17" s="1"/>
  <c r="F27" i="17" s="1"/>
  <c r="H27" i="17" s="1"/>
  <c r="K27" i="17"/>
  <c r="M26" i="17"/>
  <c r="N26" i="17" s="1"/>
  <c r="O26" i="17" s="1"/>
  <c r="P26" i="17" s="1"/>
  <c r="R26" i="17" s="1"/>
  <c r="I27" i="23" l="1"/>
  <c r="A29" i="23"/>
  <c r="E28" i="23"/>
  <c r="F28" i="23" s="1"/>
  <c r="H27" i="23"/>
  <c r="K27" i="23" s="1"/>
  <c r="L26" i="23"/>
  <c r="D32" i="23"/>
  <c r="K28" i="17"/>
  <c r="M27" i="17"/>
  <c r="N27" i="17" s="1"/>
  <c r="O27" i="17" s="1"/>
  <c r="P27" i="17" s="1"/>
  <c r="R27" i="17" s="1"/>
  <c r="A29" i="17"/>
  <c r="C28" i="17"/>
  <c r="D28" i="17" s="1"/>
  <c r="E28" i="17" s="1"/>
  <c r="F28" i="17" s="1"/>
  <c r="H28" i="17" s="1"/>
  <c r="A30" i="23" l="1"/>
  <c r="E30" i="23" s="1"/>
  <c r="F30" i="23" s="1"/>
  <c r="E29" i="23"/>
  <c r="F29" i="23" s="1"/>
  <c r="G27" i="23"/>
  <c r="C27" i="23" s="1"/>
  <c r="D33" i="23"/>
  <c r="A30" i="17"/>
  <c r="C29" i="17"/>
  <c r="D29" i="17" s="1"/>
  <c r="E29" i="17" s="1"/>
  <c r="F29" i="17" s="1"/>
  <c r="H29" i="17" s="1"/>
  <c r="K29" i="17"/>
  <c r="M28" i="17"/>
  <c r="N28" i="17" s="1"/>
  <c r="O28" i="17" s="1"/>
  <c r="P28" i="17" s="1"/>
  <c r="R28" i="17" s="1"/>
  <c r="I28" i="23" l="1"/>
  <c r="L27" i="23"/>
  <c r="D34" i="23"/>
  <c r="H28" i="23"/>
  <c r="K28" i="23" s="1"/>
  <c r="A31" i="23"/>
  <c r="K30" i="17"/>
  <c r="M29" i="17"/>
  <c r="N29" i="17" s="1"/>
  <c r="O29" i="17" s="1"/>
  <c r="P29" i="17" s="1"/>
  <c r="R29" i="17" s="1"/>
  <c r="A31" i="17"/>
  <c r="C30" i="17"/>
  <c r="D30" i="17" s="1"/>
  <c r="E30" i="17" s="1"/>
  <c r="F30" i="17" s="1"/>
  <c r="H30" i="17" s="1"/>
  <c r="G28" i="23" l="1"/>
  <c r="C28" i="23" s="1"/>
  <c r="A32" i="23"/>
  <c r="E32" i="23" s="1"/>
  <c r="F32" i="23" s="1"/>
  <c r="D35" i="23"/>
  <c r="E31" i="23"/>
  <c r="F31" i="23" s="1"/>
  <c r="A32" i="17"/>
  <c r="C31" i="17"/>
  <c r="D31" i="17" s="1"/>
  <c r="E31" i="17" s="1"/>
  <c r="F31" i="17" s="1"/>
  <c r="H31" i="17" s="1"/>
  <c r="K31" i="17"/>
  <c r="M30" i="17"/>
  <c r="N30" i="17" s="1"/>
  <c r="O30" i="17" s="1"/>
  <c r="P30" i="17" s="1"/>
  <c r="R30" i="17" s="1"/>
  <c r="D36" i="23" l="1"/>
  <c r="A33" i="23"/>
  <c r="E33" i="23" s="1"/>
  <c r="F33" i="23" s="1"/>
  <c r="I29" i="23"/>
  <c r="G29" i="23" s="1"/>
  <c r="C29" i="23" s="1"/>
  <c r="H29" i="23"/>
  <c r="K29" i="23" s="1"/>
  <c r="L28" i="23"/>
  <c r="K32" i="17"/>
  <c r="M31" i="17"/>
  <c r="N31" i="17" s="1"/>
  <c r="O31" i="17" s="1"/>
  <c r="P31" i="17" s="1"/>
  <c r="R31" i="17" s="1"/>
  <c r="A33" i="17"/>
  <c r="C32" i="17"/>
  <c r="D32" i="17" s="1"/>
  <c r="E32" i="17" s="1"/>
  <c r="F32" i="17" s="1"/>
  <c r="H32" i="17" s="1"/>
  <c r="I30" i="23" l="1"/>
  <c r="G30" i="23" s="1"/>
  <c r="C30" i="23" s="1"/>
  <c r="H30" i="23"/>
  <c r="K30" i="23" s="1"/>
  <c r="L30" i="23" s="1"/>
  <c r="A34" i="23"/>
  <c r="E34" i="23"/>
  <c r="F34" i="23" s="1"/>
  <c r="D37" i="23"/>
  <c r="L29" i="23"/>
  <c r="A34" i="17"/>
  <c r="C33" i="17"/>
  <c r="D33" i="17" s="1"/>
  <c r="E33" i="17" s="1"/>
  <c r="F33" i="17" s="1"/>
  <c r="H33" i="17" s="1"/>
  <c r="K33" i="17"/>
  <c r="M32" i="17"/>
  <c r="N32" i="17" s="1"/>
  <c r="O32" i="17" s="1"/>
  <c r="P32" i="17" s="1"/>
  <c r="R32" i="17" s="1"/>
  <c r="I31" i="23" l="1"/>
  <c r="H31" i="23"/>
  <c r="K31" i="23" s="1"/>
  <c r="D38" i="23"/>
  <c r="A35" i="23"/>
  <c r="K34" i="17"/>
  <c r="M33" i="17"/>
  <c r="N33" i="17" s="1"/>
  <c r="O33" i="17" s="1"/>
  <c r="P33" i="17" s="1"/>
  <c r="R33" i="17" s="1"/>
  <c r="A35" i="17"/>
  <c r="C34" i="17"/>
  <c r="D34" i="17" s="1"/>
  <c r="E34" i="17" s="1"/>
  <c r="F34" i="17" s="1"/>
  <c r="H34" i="17" s="1"/>
  <c r="A36" i="23" l="1"/>
  <c r="E35" i="23"/>
  <c r="F35" i="23" s="1"/>
  <c r="D39" i="23"/>
  <c r="G31" i="23"/>
  <c r="C31" i="23" s="1"/>
  <c r="A36" i="17"/>
  <c r="C35" i="17"/>
  <c r="D35" i="17" s="1"/>
  <c r="E35" i="17" s="1"/>
  <c r="F35" i="17" s="1"/>
  <c r="H35" i="17" s="1"/>
  <c r="K35" i="17"/>
  <c r="M34" i="17"/>
  <c r="N34" i="17" s="1"/>
  <c r="O34" i="17" s="1"/>
  <c r="P34" i="17" s="1"/>
  <c r="R34" i="17" s="1"/>
  <c r="I32" i="23" l="1"/>
  <c r="H32" i="23"/>
  <c r="K32" i="23" s="1"/>
  <c r="D40" i="23"/>
  <c r="L31" i="23"/>
  <c r="E37" i="23"/>
  <c r="F37" i="23" s="1"/>
  <c r="A37" i="23"/>
  <c r="E36" i="23"/>
  <c r="F36" i="23" s="1"/>
  <c r="K36" i="17"/>
  <c r="M35" i="17"/>
  <c r="N35" i="17" s="1"/>
  <c r="O35" i="17" s="1"/>
  <c r="P35" i="17" s="1"/>
  <c r="R35" i="17" s="1"/>
  <c r="A37" i="17"/>
  <c r="C36" i="17"/>
  <c r="D36" i="17" s="1"/>
  <c r="E36" i="17" s="1"/>
  <c r="F36" i="17" s="1"/>
  <c r="H36" i="17" s="1"/>
  <c r="D41" i="23" l="1"/>
  <c r="L32" i="23"/>
  <c r="G32" i="23"/>
  <c r="C32" i="23" s="1"/>
  <c r="A38" i="23"/>
  <c r="K37" i="17"/>
  <c r="M36" i="17"/>
  <c r="N36" i="17" s="1"/>
  <c r="O36" i="17" s="1"/>
  <c r="P36" i="17" s="1"/>
  <c r="R36" i="17" s="1"/>
  <c r="A38" i="17"/>
  <c r="C37" i="17"/>
  <c r="D37" i="17" s="1"/>
  <c r="E37" i="17" s="1"/>
  <c r="F37" i="17" s="1"/>
  <c r="H37" i="17" s="1"/>
  <c r="I33" i="23" l="1"/>
  <c r="G33" i="23" s="1"/>
  <c r="C33" i="23" s="1"/>
  <c r="H33" i="23"/>
  <c r="K33" i="23" s="1"/>
  <c r="A39" i="23"/>
  <c r="D42" i="23"/>
  <c r="E38" i="23"/>
  <c r="F38" i="23" s="1"/>
  <c r="A39" i="17"/>
  <c r="C38" i="17"/>
  <c r="D38" i="17" s="1"/>
  <c r="E38" i="17" s="1"/>
  <c r="F38" i="17" s="1"/>
  <c r="H38" i="17" s="1"/>
  <c r="K38" i="17"/>
  <c r="M37" i="17"/>
  <c r="N37" i="17" s="1"/>
  <c r="O37" i="17" s="1"/>
  <c r="P37" i="17" s="1"/>
  <c r="R37" i="17" s="1"/>
  <c r="I34" i="23" l="1"/>
  <c r="G34" i="23" s="1"/>
  <c r="C34" i="23" s="1"/>
  <c r="H34" i="23"/>
  <c r="K34" i="23" s="1"/>
  <c r="L34" i="23" s="1"/>
  <c r="A40" i="23"/>
  <c r="E40" i="23" s="1"/>
  <c r="F40" i="23" s="1"/>
  <c r="E39" i="23"/>
  <c r="F39" i="23" s="1"/>
  <c r="L33" i="23"/>
  <c r="K39" i="17"/>
  <c r="M38" i="17"/>
  <c r="N38" i="17" s="1"/>
  <c r="O38" i="17" s="1"/>
  <c r="P38" i="17" s="1"/>
  <c r="R38" i="17" s="1"/>
  <c r="A40" i="17"/>
  <c r="C39" i="17"/>
  <c r="D39" i="17" s="1"/>
  <c r="E39" i="17" s="1"/>
  <c r="F39" i="17" s="1"/>
  <c r="H39" i="17" s="1"/>
  <c r="I35" i="23" l="1"/>
  <c r="H35" i="23"/>
  <c r="K35" i="23" s="1"/>
  <c r="A41" i="23"/>
  <c r="A41" i="17"/>
  <c r="C40" i="17"/>
  <c r="D40" i="17" s="1"/>
  <c r="E40" i="17" s="1"/>
  <c r="F40" i="17" s="1"/>
  <c r="H40" i="17" s="1"/>
  <c r="K40" i="17"/>
  <c r="M39" i="17"/>
  <c r="N39" i="17" s="1"/>
  <c r="O39" i="17" s="1"/>
  <c r="P39" i="17" s="1"/>
  <c r="R39" i="17" s="1"/>
  <c r="G35" i="23" l="1"/>
  <c r="C35" i="23" s="1"/>
  <c r="A42" i="23"/>
  <c r="E42" i="23" s="1"/>
  <c r="F42" i="23" s="1"/>
  <c r="E41" i="23"/>
  <c r="F41" i="23" s="1"/>
  <c r="K41" i="17"/>
  <c r="M40" i="17"/>
  <c r="N40" i="17" s="1"/>
  <c r="O40" i="17" s="1"/>
  <c r="P40" i="17" s="1"/>
  <c r="R40" i="17" s="1"/>
  <c r="A42" i="17"/>
  <c r="C41" i="17"/>
  <c r="D41" i="17" s="1"/>
  <c r="E41" i="17" s="1"/>
  <c r="F41" i="17" s="1"/>
  <c r="H41" i="17" s="1"/>
  <c r="I36" i="23" l="1"/>
  <c r="G36" i="23" s="1"/>
  <c r="C36" i="23" s="1"/>
  <c r="H36" i="23"/>
  <c r="K36" i="23" s="1"/>
  <c r="L35" i="23"/>
  <c r="K42" i="17"/>
  <c r="M41" i="17"/>
  <c r="N41" i="17" s="1"/>
  <c r="O41" i="17" s="1"/>
  <c r="P41" i="17" s="1"/>
  <c r="R41" i="17" s="1"/>
  <c r="A43" i="17"/>
  <c r="C42" i="17"/>
  <c r="D42" i="17" s="1"/>
  <c r="E42" i="17" s="1"/>
  <c r="F42" i="17" s="1"/>
  <c r="H42" i="17" s="1"/>
  <c r="I37" i="23" l="1"/>
  <c r="H37" i="23"/>
  <c r="K37" i="23" s="1"/>
  <c r="L36" i="23"/>
  <c r="A44" i="17"/>
  <c r="C43" i="17"/>
  <c r="D43" i="17" s="1"/>
  <c r="E43" i="17" s="1"/>
  <c r="F43" i="17" s="1"/>
  <c r="H43" i="17" s="1"/>
  <c r="K43" i="17"/>
  <c r="M42" i="17"/>
  <c r="N42" i="17" s="1"/>
  <c r="O42" i="17" s="1"/>
  <c r="P42" i="17" s="1"/>
  <c r="R42" i="17" s="1"/>
  <c r="L37" i="23" l="1"/>
  <c r="G37" i="23"/>
  <c r="C37" i="23" s="1"/>
  <c r="K44" i="17"/>
  <c r="M43" i="17"/>
  <c r="N43" i="17" s="1"/>
  <c r="O43" i="17" s="1"/>
  <c r="P43" i="17" s="1"/>
  <c r="R43" i="17" s="1"/>
  <c r="A45" i="17"/>
  <c r="C44" i="17"/>
  <c r="D44" i="17" s="1"/>
  <c r="E44" i="17" s="1"/>
  <c r="F44" i="17" s="1"/>
  <c r="H44" i="17" s="1"/>
  <c r="C38" i="23" l="1"/>
  <c r="I38" i="23"/>
  <c r="G38" i="23" s="1"/>
  <c r="H38" i="23"/>
  <c r="K38" i="23" s="1"/>
  <c r="L38" i="23" s="1"/>
  <c r="K45" i="17"/>
  <c r="M44" i="17"/>
  <c r="N44" i="17" s="1"/>
  <c r="O44" i="17" s="1"/>
  <c r="P44" i="17" s="1"/>
  <c r="R44" i="17" s="1"/>
  <c r="A46" i="17"/>
  <c r="C46" i="17" s="1"/>
  <c r="D46" i="17" s="1"/>
  <c r="E46" i="17" s="1"/>
  <c r="F46" i="17" s="1"/>
  <c r="H46" i="17" s="1"/>
  <c r="C45" i="17"/>
  <c r="D45" i="17" s="1"/>
  <c r="E45" i="17" s="1"/>
  <c r="F45" i="17" s="1"/>
  <c r="H45" i="17" s="1"/>
  <c r="I39" i="23" l="1"/>
  <c r="G39" i="23" s="1"/>
  <c r="C39" i="23" s="1"/>
  <c r="H39" i="23"/>
  <c r="K39" i="23" s="1"/>
  <c r="H47" i="17"/>
  <c r="K46" i="17"/>
  <c r="M46" i="17" s="1"/>
  <c r="N46" i="17" s="1"/>
  <c r="O46" i="17" s="1"/>
  <c r="P46" i="17" s="1"/>
  <c r="R46" i="17" s="1"/>
  <c r="M45" i="17"/>
  <c r="N45" i="17" s="1"/>
  <c r="O45" i="17" s="1"/>
  <c r="P45" i="17" s="1"/>
  <c r="R45" i="17" s="1"/>
  <c r="I40" i="23" l="1"/>
  <c r="G40" i="23" s="1"/>
  <c r="C40" i="23" s="1"/>
  <c r="H40" i="23"/>
  <c r="K40" i="23" s="1"/>
  <c r="L39" i="23"/>
  <c r="R47" i="17"/>
  <c r="R12" i="17" l="1"/>
  <c r="S12" i="17" s="1"/>
  <c r="I41" i="23"/>
  <c r="G41" i="23" s="1"/>
  <c r="C41" i="23" s="1"/>
  <c r="H41" i="23"/>
  <c r="K41" i="23" s="1"/>
  <c r="L40" i="23"/>
  <c r="C42" i="23" l="1"/>
  <c r="G42" i="23"/>
  <c r="I42" i="23"/>
  <c r="H42" i="23"/>
  <c r="K42" i="23" s="1"/>
  <c r="L42" i="23" s="1"/>
  <c r="L41" i="23"/>
  <c r="D16" i="12" l="1"/>
  <c r="E16" i="12" s="1"/>
  <c r="B16" i="12"/>
  <c r="B18" i="12" s="1"/>
  <c r="B19" i="12" s="1"/>
  <c r="B20" i="12" s="1"/>
  <c r="B21" i="12" s="1"/>
  <c r="A19" i="12"/>
  <c r="C19" i="12" s="1"/>
  <c r="D19" i="12" s="1"/>
  <c r="E19" i="12" s="1"/>
  <c r="A18" i="12"/>
  <c r="A16" i="12"/>
  <c r="A17" i="12" l="1"/>
  <c r="C17" i="12" s="1"/>
  <c r="A15" i="12"/>
  <c r="F16" i="12"/>
  <c r="F19" i="12"/>
  <c r="D17" i="12"/>
  <c r="E17" i="12" s="1"/>
  <c r="F17" i="12" s="1"/>
  <c r="G19" i="12" s="1"/>
  <c r="J10" i="12" s="1"/>
  <c r="A20" i="12"/>
  <c r="D18" i="12"/>
  <c r="E18" i="12" s="1"/>
  <c r="F18" i="12" s="1"/>
  <c r="G8" i="4"/>
  <c r="F4" i="4"/>
  <c r="J4" i="4"/>
  <c r="J5" i="4" s="1"/>
  <c r="A32" i="10"/>
  <c r="A33" i="10" s="1"/>
  <c r="A34" i="10" s="1"/>
  <c r="A35" i="10" s="1"/>
  <c r="A36" i="10" s="1"/>
  <c r="A31" i="10"/>
  <c r="D22" i="10"/>
  <c r="D23" i="10" s="1"/>
  <c r="D24" i="10" s="1"/>
  <c r="A17" i="10"/>
  <c r="A18" i="10" s="1"/>
  <c r="A19" i="10" s="1"/>
  <c r="A20" i="10" s="1"/>
  <c r="A21" i="10" s="1"/>
  <c r="A22" i="10" s="1"/>
  <c r="A23" i="10" s="1"/>
  <c r="A24" i="10" s="1"/>
  <c r="A25" i="10" s="1"/>
  <c r="A26" i="10" s="1"/>
  <c r="A27" i="10" s="1"/>
  <c r="A28" i="10" s="1"/>
  <c r="A29" i="10" s="1"/>
  <c r="A30" i="10" s="1"/>
  <c r="B16" i="10"/>
  <c r="C16" i="10" s="1"/>
  <c r="A16" i="10"/>
  <c r="F6" i="10"/>
  <c r="D31" i="10" s="1"/>
  <c r="D17" i="10" l="1"/>
  <c r="C17" i="10" s="1"/>
  <c r="D34" i="10"/>
  <c r="D19" i="10"/>
  <c r="D35" i="10"/>
  <c r="D20" i="10"/>
  <c r="D32" i="10"/>
  <c r="D33" i="10"/>
  <c r="H19" i="12"/>
  <c r="A21" i="12"/>
  <c r="C21" i="12" s="1"/>
  <c r="D21" i="12" s="1"/>
  <c r="E21" i="12" s="1"/>
  <c r="F21" i="12" s="1"/>
  <c r="H21" i="12" s="1"/>
  <c r="C20" i="12"/>
  <c r="D20" i="12" s="1"/>
  <c r="E20" i="12" s="1"/>
  <c r="F20" i="12" s="1"/>
  <c r="H20" i="12" s="1"/>
  <c r="F5" i="4"/>
  <c r="D36" i="10"/>
  <c r="D18" i="10"/>
  <c r="C18" i="10" l="1"/>
  <c r="C19" i="10" s="1"/>
  <c r="C20" i="10" s="1"/>
  <c r="C21" i="10" s="1"/>
  <c r="C22" i="10" s="1"/>
  <c r="C23" i="10" s="1"/>
  <c r="C24" i="10" s="1"/>
  <c r="C25" i="10" s="1"/>
  <c r="C26" i="10" s="1"/>
  <c r="C27" i="10" s="1"/>
  <c r="C28" i="10" s="1"/>
  <c r="C29" i="10" s="1"/>
  <c r="C30" i="10" s="1"/>
  <c r="C31" i="10" s="1"/>
  <c r="C32" i="10" s="1"/>
  <c r="C33" i="10" s="1"/>
  <c r="C34" i="10" s="1"/>
  <c r="C35" i="10" s="1"/>
  <c r="C36" i="10" s="1"/>
  <c r="F6" i="4"/>
  <c r="D27" i="5" l="1"/>
  <c r="E27" i="5" s="1"/>
  <c r="D23" i="5"/>
  <c r="D20" i="5"/>
  <c r="D19" i="5"/>
  <c r="D18" i="5"/>
  <c r="A18" i="5"/>
  <c r="A19" i="5" s="1"/>
  <c r="A20" i="5" s="1"/>
  <c r="A21" i="5" s="1"/>
  <c r="A22" i="5" s="1"/>
  <c r="A23" i="5" s="1"/>
  <c r="A24" i="5" s="1"/>
  <c r="A25" i="5" s="1"/>
  <c r="A26" i="5" s="1"/>
  <c r="A27" i="5" s="1"/>
  <c r="B17" i="5"/>
  <c r="A17" i="5"/>
  <c r="B15" i="5"/>
  <c r="A15" i="5"/>
  <c r="B14" i="5"/>
  <c r="A14" i="5"/>
  <c r="B13" i="5"/>
  <c r="C13" i="5" s="1"/>
  <c r="A13" i="5"/>
  <c r="F8" i="5"/>
  <c r="D21" i="5" l="1"/>
  <c r="A16" i="5"/>
  <c r="C14" i="5"/>
  <c r="C15" i="5" s="1"/>
  <c r="C17" i="5" s="1"/>
  <c r="D22" i="5" l="1"/>
  <c r="D24" i="5" l="1"/>
  <c r="D25" i="5" l="1"/>
  <c r="D26" i="5" l="1"/>
  <c r="E25" i="5"/>
  <c r="E22" i="5"/>
  <c r="E20" i="5"/>
  <c r="E26" i="5" l="1"/>
  <c r="E24" i="5"/>
  <c r="E23" i="5"/>
  <c r="E21" i="5"/>
  <c r="D28" i="5"/>
  <c r="E18" i="5"/>
  <c r="F18" i="5" s="1"/>
  <c r="C18" i="5" s="1"/>
  <c r="E19" i="5"/>
  <c r="F19" i="5" l="1"/>
  <c r="C19" i="5" s="1"/>
  <c r="F20" i="5" l="1"/>
  <c r="C20" i="5" s="1"/>
  <c r="F21" i="5" s="1"/>
  <c r="C21" i="5" s="1"/>
  <c r="F22" i="5" s="1"/>
  <c r="C22" i="5" s="1"/>
  <c r="F23" i="5" s="1"/>
  <c r="C23" i="5" s="1"/>
  <c r="F24" i="5" s="1"/>
  <c r="C24" i="5" s="1"/>
  <c r="F25" i="5" l="1"/>
  <c r="C25" i="5" s="1"/>
  <c r="F26" i="5" l="1"/>
  <c r="C26" i="5" s="1"/>
  <c r="F27" i="5" l="1"/>
  <c r="C27" i="5" s="1"/>
  <c r="E9" i="3" l="1"/>
  <c r="E10" i="3" s="1"/>
  <c r="E11" i="3" s="1"/>
  <c r="E12" i="3" s="1"/>
  <c r="E13" i="3" s="1"/>
  <c r="E14" i="3" s="1"/>
  <c r="E15" i="3" s="1"/>
  <c r="E16" i="3" s="1"/>
  <c r="E17" i="3" s="1"/>
  <c r="E18" i="3" s="1"/>
  <c r="E19" i="3" s="1"/>
  <c r="E20" i="3" s="1"/>
  <c r="E21" i="3" s="1"/>
  <c r="E22" i="3" s="1"/>
  <c r="E23" i="3" s="1"/>
  <c r="E24" i="3" s="1"/>
  <c r="E25" i="3" s="1"/>
  <c r="E26" i="3" s="1"/>
  <c r="E27" i="3" s="1"/>
  <c r="E28" i="3" s="1"/>
  <c r="C5" i="3"/>
  <c r="C6" i="3" s="1"/>
  <c r="C7" i="3" s="1"/>
  <c r="C9" i="3" s="1"/>
  <c r="A6" i="3"/>
  <c r="A7" i="3" s="1"/>
  <c r="A9" i="3" s="1"/>
  <c r="A10" i="3" s="1"/>
  <c r="A11" i="3" s="1"/>
  <c r="A12" i="3" s="1"/>
  <c r="A13" i="3" s="1"/>
  <c r="A14" i="3" s="1"/>
  <c r="A15" i="3" s="1"/>
  <c r="A16" i="3" s="1"/>
  <c r="A17" i="3" s="1"/>
  <c r="A18" i="3" s="1"/>
  <c r="A19" i="3" s="1"/>
  <c r="A20" i="3" s="1"/>
  <c r="A21" i="3" s="1"/>
  <c r="A22" i="3" s="1"/>
  <c r="A23" i="3" s="1"/>
  <c r="A24" i="3" s="1"/>
  <c r="A25" i="3" s="1"/>
  <c r="A26" i="3" s="1"/>
  <c r="A27" i="3" s="1"/>
  <c r="A28" i="3" s="1"/>
  <c r="B6" i="3"/>
  <c r="B7" i="3" s="1"/>
  <c r="B9" i="3" s="1"/>
  <c r="B10" i="3" s="1"/>
  <c r="B11" i="3" s="1"/>
  <c r="B12" i="3" s="1"/>
  <c r="B13" i="3" s="1"/>
  <c r="B14" i="3" s="1"/>
  <c r="B15" i="3" s="1"/>
  <c r="B16" i="3" s="1"/>
  <c r="B17" i="3" s="1"/>
  <c r="B18" i="3" s="1"/>
  <c r="B19" i="3" s="1"/>
  <c r="B20" i="3" s="1"/>
  <c r="B21" i="3" s="1"/>
  <c r="B22" i="3" s="1"/>
  <c r="B23" i="3" s="1"/>
  <c r="B24" i="3" s="1"/>
  <c r="B25" i="3" s="1"/>
  <c r="B26" i="3" s="1"/>
  <c r="B27" i="3" s="1"/>
  <c r="B28" i="3" s="1"/>
  <c r="F28" i="3" s="1"/>
  <c r="E30" i="3" s="1"/>
  <c r="F25" i="3" l="1"/>
  <c r="C29" i="3" s="1"/>
  <c r="C10" i="3"/>
  <c r="C11" i="3" s="1"/>
  <c r="C12" i="3" s="1"/>
  <c r="C13" i="3" s="1"/>
  <c r="C14" i="3" s="1"/>
  <c r="C15" i="3" s="1"/>
  <c r="C16" i="3" s="1"/>
  <c r="C17" i="3" s="1"/>
  <c r="C18" i="3" s="1"/>
  <c r="C19" i="3" s="1"/>
  <c r="C20" i="3" s="1"/>
  <c r="C21" i="3" s="1"/>
  <c r="C22" i="3" s="1"/>
  <c r="C23" i="3" s="1"/>
  <c r="C24" i="3" s="1"/>
  <c r="C25" i="3" s="1"/>
  <c r="E18" i="25" l="1"/>
  <c r="J19" i="25" s="1"/>
  <c r="H19" i="25" l="1"/>
  <c r="K19" i="25" s="1"/>
  <c r="E19" i="25"/>
  <c r="J20" i="25" l="1"/>
  <c r="E20" i="25" s="1"/>
  <c r="H20" i="25"/>
  <c r="K20" i="25" s="1"/>
  <c r="J21" i="25" l="1"/>
  <c r="E21" i="25" s="1"/>
  <c r="H21" i="25"/>
  <c r="K21" i="25" s="1"/>
  <c r="J22" i="25" l="1"/>
  <c r="E22" i="25" s="1"/>
  <c r="H22" i="25"/>
  <c r="K22" i="25" s="1"/>
  <c r="J23" i="25" l="1"/>
  <c r="E23" i="25" s="1"/>
  <c r="H23" i="25"/>
  <c r="K23" i="25" l="1"/>
  <c r="J24" i="25"/>
  <c r="E24" i="25" s="1"/>
  <c r="H24" i="25"/>
  <c r="K24" i="25" s="1"/>
  <c r="J25" i="25" l="1"/>
  <c r="E25" i="25" s="1"/>
  <c r="H25" i="25"/>
  <c r="K25" i="25" s="1"/>
  <c r="J26" i="25" l="1"/>
  <c r="E26" i="25" s="1"/>
  <c r="H26" i="25"/>
  <c r="K26" i="25" l="1"/>
  <c r="J27" i="25"/>
  <c r="E27" i="25" s="1"/>
  <c r="H27" i="25"/>
  <c r="K27" i="25" l="1"/>
  <c r="J28" i="25"/>
  <c r="E28" i="25" s="1"/>
  <c r="H28" i="25"/>
  <c r="K28" i="25" l="1"/>
  <c r="J29" i="25"/>
  <c r="E29" i="25" s="1"/>
  <c r="H29" i="25"/>
  <c r="K29" i="25" s="1"/>
  <c r="J30" i="25" l="1"/>
  <c r="E30" i="25" s="1"/>
  <c r="H30" i="25"/>
  <c r="K30" i="25" s="1"/>
  <c r="J31" i="25" l="1"/>
  <c r="E31" i="25" s="1"/>
  <c r="H31" i="25"/>
  <c r="K31" i="25" l="1"/>
  <c r="J32" i="25"/>
  <c r="E32" i="25" s="1"/>
  <c r="H32" i="25"/>
  <c r="K32" i="25" l="1"/>
  <c r="J33" i="25"/>
  <c r="E33" i="25" s="1"/>
  <c r="H33" i="25"/>
  <c r="K33" i="25" l="1"/>
  <c r="J34" i="25"/>
  <c r="E34" i="25" s="1"/>
  <c r="H34" i="25"/>
  <c r="K34" i="25" l="1"/>
  <c r="J35" i="25"/>
  <c r="E35" i="25" s="1"/>
  <c r="H35" i="25"/>
  <c r="K35" i="25" l="1"/>
  <c r="J36" i="25"/>
  <c r="E36" i="25" s="1"/>
  <c r="H36" i="25"/>
  <c r="K36" i="25" l="1"/>
  <c r="J37" i="25"/>
  <c r="H37" i="25"/>
  <c r="E37" i="25"/>
  <c r="K37" i="25" l="1"/>
  <c r="J38" i="25"/>
  <c r="E38" i="25" s="1"/>
  <c r="H38" i="25"/>
  <c r="K38" i="25" s="1"/>
  <c r="J39" i="25" l="1"/>
  <c r="E39" i="25" s="1"/>
  <c r="H39" i="25"/>
  <c r="K39" i="25" s="1"/>
  <c r="J40" i="25" l="1"/>
  <c r="E40" i="25" s="1"/>
  <c r="H40" i="25"/>
  <c r="K40" i="25" l="1"/>
  <c r="J41" i="25"/>
  <c r="E41" i="25" s="1"/>
  <c r="H41" i="25"/>
  <c r="K41" i="25" l="1"/>
  <c r="J42" i="25"/>
  <c r="H42" i="25"/>
  <c r="K42" i="25" s="1"/>
  <c r="E42" i="25"/>
  <c r="J43" i="25" l="1"/>
  <c r="E43" i="25" s="1"/>
  <c r="H43" i="25"/>
  <c r="K43" i="25" s="1"/>
  <c r="J44" i="25" l="1"/>
  <c r="E44" i="25" s="1"/>
  <c r="H44" i="25"/>
  <c r="K44" i="25" l="1"/>
  <c r="J45" i="25"/>
  <c r="E45" i="25" s="1"/>
  <c r="H45" i="25"/>
  <c r="K45" i="25" s="1"/>
  <c r="A31" i="8" l="1"/>
  <c r="A32" i="8" s="1"/>
  <c r="A33" i="8" l="1"/>
  <c r="I32" i="8"/>
  <c r="J32" i="8" s="1"/>
  <c r="I31" i="8"/>
  <c r="J31" i="8" s="1"/>
  <c r="F31" i="8" l="1"/>
  <c r="E31" i="8"/>
  <c r="K31" i="8" s="1"/>
  <c r="E32" i="8"/>
  <c r="F32" i="8"/>
  <c r="A34" i="8"/>
  <c r="I33" i="8"/>
  <c r="J33" i="8" s="1"/>
  <c r="F33" i="8" s="1"/>
  <c r="I34" i="8" l="1"/>
  <c r="J34" i="8" s="1"/>
  <c r="F34" i="8" s="1"/>
  <c r="A35" i="8"/>
  <c r="A36" i="8" l="1"/>
  <c r="I35" i="8"/>
  <c r="J35" i="8" s="1"/>
  <c r="F35" i="8" s="1"/>
  <c r="I36" i="8" l="1"/>
  <c r="J36" i="8" s="1"/>
  <c r="F36" i="8" s="1"/>
  <c r="A37" i="8"/>
  <c r="I37" i="8" l="1"/>
  <c r="J37" i="8" s="1"/>
  <c r="F37" i="8" s="1"/>
  <c r="A38" i="8"/>
  <c r="I38" i="8" l="1"/>
  <c r="J38" i="8" s="1"/>
  <c r="F38" i="8" s="1"/>
  <c r="A39" i="8"/>
  <c r="I39" i="8" l="1"/>
  <c r="J39" i="8" s="1"/>
  <c r="F39" i="8" s="1"/>
  <c r="A40" i="8"/>
  <c r="I40" i="8" l="1"/>
  <c r="J40" i="8" s="1"/>
  <c r="F40" i="8" s="1"/>
  <c r="D32" i="8"/>
  <c r="K32" i="8" l="1"/>
  <c r="G32" i="8"/>
  <c r="D33" i="8" l="1"/>
  <c r="E33" i="8"/>
  <c r="K33" i="8" l="1"/>
  <c r="G33" i="8"/>
  <c r="D34" i="8" l="1"/>
  <c r="E34" i="8"/>
  <c r="K34" i="8" l="1"/>
  <c r="G34" i="8"/>
  <c r="D35" i="8" l="1"/>
  <c r="E35" i="8"/>
  <c r="K35" i="8" l="1"/>
  <c r="G35" i="8"/>
  <c r="E36" i="8" l="1"/>
  <c r="D36" i="8"/>
  <c r="G36" i="8" s="1"/>
  <c r="D37" i="8" l="1"/>
  <c r="E37" i="8"/>
  <c r="K36" i="8"/>
  <c r="K37" i="8" l="1"/>
  <c r="G37" i="8"/>
  <c r="D38" i="8" l="1"/>
  <c r="E38" i="8"/>
  <c r="K38" i="8" l="1"/>
  <c r="G38" i="8"/>
  <c r="D39" i="8" l="1"/>
  <c r="E39" i="8"/>
  <c r="K39" i="8" l="1"/>
  <c r="G39" i="8"/>
  <c r="D40" i="8" l="1"/>
  <c r="K40" i="8" s="1"/>
  <c r="E40" i="8"/>
  <c r="G40" i="8"/>
</calcChain>
</file>

<file path=xl/sharedStrings.xml><?xml version="1.0" encoding="utf-8"?>
<sst xmlns="http://schemas.openxmlformats.org/spreadsheetml/2006/main" count="594" uniqueCount="231">
  <si>
    <t>Constant DOD and Fixed Rate</t>
  </si>
  <si>
    <t>Interest Rate (p.y.%)</t>
  </si>
  <si>
    <t>First Interest Payment Date</t>
  </si>
  <si>
    <t>Financial Operation</t>
  </si>
  <si>
    <t>Date</t>
  </si>
  <si>
    <t>Amount</t>
  </si>
  <si>
    <t>Disbursement</t>
  </si>
  <si>
    <t>Periodicity (months)</t>
  </si>
  <si>
    <t>Day Count (DC) Standard or (Fraction Year)</t>
  </si>
  <si>
    <t>Rounding Rule - Interest factor (decimals)</t>
  </si>
  <si>
    <t>Rounding Rule - Financial amount (decimals)</t>
  </si>
  <si>
    <t>Non-working day Rule</t>
  </si>
  <si>
    <t>Observe maturity date</t>
  </si>
  <si>
    <t>ROUNDING = 2</t>
  </si>
  <si>
    <t>ROUNDING = 1</t>
  </si>
  <si>
    <r>
      <t xml:space="preserve">DIFFERENCE ON INTEREST DUE TO ROUNDING CRITERIA 
</t>
    </r>
    <r>
      <rPr>
        <b/>
        <sz val="11"/>
        <rFont val="Calibri"/>
        <family val="2"/>
        <scheme val="minor"/>
      </rPr>
      <t>$</t>
    </r>
  </si>
  <si>
    <t>in 15 Years :
% of DOD</t>
  </si>
  <si>
    <t xml:space="preserve">Date </t>
  </si>
  <si>
    <t>DOD</t>
  </si>
  <si>
    <t># of days</t>
  </si>
  <si>
    <t>Fraction Year</t>
  </si>
  <si>
    <t>Interest Factor</t>
  </si>
  <si>
    <t>Interest Accrued ($)</t>
  </si>
  <si>
    <t>Adjustment with the previous period</t>
  </si>
  <si>
    <t>Total Interest Payment ($)</t>
  </si>
  <si>
    <t>FREEZE</t>
  </si>
  <si>
    <t xml:space="preserve"> -   </t>
  </si>
  <si>
    <t>Computation continues up to DOD = 0</t>
  </si>
  <si>
    <t>Rounding rule - Interest factor</t>
  </si>
  <si>
    <t>Rounding Rule - Financial amount</t>
  </si>
  <si>
    <t>cut-off freezes up to 1/15/22</t>
  </si>
  <si>
    <t>….</t>
  </si>
  <si>
    <t>…</t>
  </si>
  <si>
    <t>Amortization Schedule</t>
  </si>
  <si>
    <t xml:space="preserve"># of installments </t>
  </si>
  <si>
    <t>Dates</t>
  </si>
  <si>
    <t>Tranche 1</t>
  </si>
  <si>
    <t>Tranche 2</t>
  </si>
  <si>
    <t>New Disbursement</t>
  </si>
  <si>
    <t>N. of Years Tranche 1</t>
  </si>
  <si>
    <t>N. of Years Tranche 2</t>
  </si>
  <si>
    <t xml:space="preserve">Disbursement Date </t>
  </si>
  <si>
    <t>2 lines of amortization planning</t>
  </si>
  <si>
    <t>Total</t>
  </si>
  <si>
    <t>First Amortization Date</t>
  </si>
  <si>
    <t>Periodicity - Semi-Annual</t>
  </si>
  <si>
    <t>Periodicity - Quarterly</t>
  </si>
  <si>
    <t>Rounding</t>
  </si>
  <si>
    <t>2nd decimal</t>
  </si>
  <si>
    <t>Invoice Cut-Off Date</t>
  </si>
  <si>
    <t>1 month</t>
  </si>
  <si>
    <t xml:space="preserve">Disbursement </t>
  </si>
  <si>
    <t>Installment/
Amortization ($)</t>
  </si>
  <si>
    <t>4 semi-annual installments</t>
  </si>
  <si>
    <t>6 quarterly installments</t>
  </si>
  <si>
    <t xml:space="preserve">Number of installments </t>
  </si>
  <si>
    <t>10 semi-annual installments</t>
  </si>
  <si>
    <r>
      <t>A new disbursement altered A</t>
    </r>
    <r>
      <rPr>
        <vertAlign val="subscript"/>
        <sz val="11"/>
        <color theme="1"/>
        <rFont val="Calibri"/>
        <family val="2"/>
        <scheme val="minor"/>
      </rPr>
      <t>t</t>
    </r>
  </si>
  <si>
    <t>Number of Installments</t>
  </si>
  <si>
    <t xml:space="preserve">Percentual </t>
  </si>
  <si>
    <t>Percentual
(P)</t>
  </si>
  <si>
    <t>Cumulative Percentage 
(PCTG)</t>
  </si>
  <si>
    <t>freeze</t>
  </si>
  <si>
    <t>5 semi-annual installments at 10.5%</t>
  </si>
  <si>
    <t>4 semi-annual installments at 9.8%</t>
  </si>
  <si>
    <t>1 installment at 8.3%</t>
  </si>
  <si>
    <t>Disbursement ($)</t>
  </si>
  <si>
    <t xml:space="preserve">Total Comittment </t>
  </si>
  <si>
    <t>Interest Rate (Fixed) (% p.y.)</t>
  </si>
  <si>
    <t>Periodicity (monthly)</t>
  </si>
  <si>
    <t>Interest Rate Method</t>
  </si>
  <si>
    <t>Simple Interest</t>
  </si>
  <si>
    <t xml:space="preserve">Day-Count Basis: </t>
  </si>
  <si>
    <t>n</t>
  </si>
  <si>
    <t># of Days</t>
  </si>
  <si>
    <t>Amortization</t>
  </si>
  <si>
    <t xml:space="preserve">Interest </t>
  </si>
  <si>
    <t>Instalment</t>
  </si>
  <si>
    <t>Waiver of Interest</t>
  </si>
  <si>
    <t>Interest Billed</t>
  </si>
  <si>
    <t>TOTAL BILLED ($)</t>
  </si>
  <si>
    <t xml:space="preserve">Total Commitment </t>
  </si>
  <si>
    <t>Interest Rate  % p.y.</t>
  </si>
  <si>
    <t>Initial Date for accrual</t>
  </si>
  <si>
    <t>Periodicity of Amortization</t>
  </si>
  <si>
    <t>Semi-Annual</t>
  </si>
  <si>
    <t xml:space="preserve">Amortization Schedule: </t>
  </si>
  <si>
    <t>Constant (CAS)</t>
  </si>
  <si>
    <t>Effective (Sign-off)  Date</t>
  </si>
  <si>
    <t>Final Disbursement Date</t>
  </si>
  <si>
    <t xml:space="preserve">Total </t>
  </si>
  <si>
    <t xml:space="preserve">First Amortization Date </t>
  </si>
  <si>
    <t>Interest Rate (Fixed) (%  p.y.)</t>
  </si>
  <si>
    <t>Day-Count Basis: DC/365</t>
  </si>
  <si>
    <t>Commitment Fee (% p.y.)</t>
  </si>
  <si>
    <t>Periodicity Interest and Fees</t>
  </si>
  <si>
    <t>Effective Grace Period (days)</t>
  </si>
  <si>
    <t xml:space="preserve">First Interest and ComFee Payment Date </t>
  </si>
  <si>
    <t>Invoice Cutt-Off Date (# of months before payment date)</t>
  </si>
  <si>
    <t xml:space="preserve"># of installments
</t>
  </si>
  <si>
    <t>Interest Accrued</t>
  </si>
  <si>
    <t>CUB</t>
  </si>
  <si>
    <t>Invoice Cut-Off date (Months)</t>
  </si>
  <si>
    <t>EFFECT OF THE INVOICE CUT-OFF DATE ON THE BILLING $</t>
  </si>
  <si>
    <t>If the feezing is 1 month</t>
  </si>
  <si>
    <t>If the feezing is 3 months</t>
  </si>
  <si>
    <t>PAYABLE IF THERE WERE NO FREEZING</t>
  </si>
  <si>
    <t># of Installments</t>
  </si>
  <si>
    <t>Conversion Rate for Currency Computing Base</t>
  </si>
  <si>
    <t>Periodicity (Months)</t>
  </si>
  <si>
    <t>Total Disbursed</t>
  </si>
  <si>
    <t>Compounded</t>
  </si>
  <si>
    <t>Day-Count Basis: DC/360</t>
  </si>
  <si>
    <t>Amortiazation Method</t>
  </si>
  <si>
    <t>Constant</t>
  </si>
  <si>
    <t>First Amortization</t>
  </si>
  <si>
    <t xml:space="preserve">Conversion Rate </t>
  </si>
  <si>
    <t>DOD
(Currency Computing Base)</t>
  </si>
  <si>
    <t># of Remaining Installments</t>
  </si>
  <si>
    <t>Amortization 
(Currency Computing Base)</t>
  </si>
  <si>
    <t>Interest Accrued (Currency Computing Base)</t>
  </si>
  <si>
    <t>TOTAL BILLED (Currency Computing Base)</t>
  </si>
  <si>
    <t>Amortization ($)</t>
  </si>
  <si>
    <t>INDEX</t>
  </si>
  <si>
    <t xml:space="preserve">Interest Method </t>
  </si>
  <si>
    <t>Compunded</t>
  </si>
  <si>
    <t>Capitalization Factor (CAP)</t>
  </si>
  <si>
    <t>SOFR Rate</t>
  </si>
  <si>
    <t>SOFR INDEX</t>
  </si>
  <si>
    <t>SOFR Published dates (Working days)</t>
  </si>
  <si>
    <t>SOFR Index*</t>
  </si>
  <si>
    <t>SOFR Rate**</t>
  </si>
  <si>
    <t>Estimated SOFR INDEX</t>
  </si>
  <si>
    <t>Initial Date</t>
  </si>
  <si>
    <t xml:space="preserve">Payment Date </t>
  </si>
  <si>
    <t>Invoice Cut-off date</t>
  </si>
  <si>
    <t>DOD $</t>
  </si>
  <si>
    <t>INDEX SOFR t (initial)</t>
  </si>
  <si>
    <t>INDEX SOFR T (estimated)</t>
  </si>
  <si>
    <t>Intersest Accrued $</t>
  </si>
  <si>
    <t>Gray cells are unknown at the invoice cut-off date</t>
  </si>
  <si>
    <t>*Published on the current day- D0</t>
  </si>
  <si>
    <t>**Published on D+1</t>
  </si>
  <si>
    <t>New Year's Day 2021/2022</t>
  </si>
  <si>
    <t>Payment Date</t>
  </si>
  <si>
    <t>Unknown</t>
  </si>
  <si>
    <t>NoneEarly Close Only (2:00 p.m. Eastern Time): Friday, December 31, 2021</t>
  </si>
  <si>
    <t xml:space="preserve">Invoice Cut-off Date </t>
  </si>
  <si>
    <t>Martin Luther King Day</t>
  </si>
  <si>
    <t>Monday, January 17, 2022</t>
  </si>
  <si>
    <t>Disbursement Date</t>
  </si>
  <si>
    <t>Presidents Day</t>
  </si>
  <si>
    <t>Reverse Disbursement</t>
  </si>
  <si>
    <t>Monday, February 21, 2022</t>
  </si>
  <si>
    <t>Reverse Disbursement Date</t>
  </si>
  <si>
    <t>Good Friday</t>
  </si>
  <si>
    <t>Friday, April 15, 2022Early Close (2:00 p.m. Eastern Time): Thursday, April 14, 2022</t>
  </si>
  <si>
    <t>Interest Accrued $</t>
  </si>
  <si>
    <t>Memorial Day</t>
  </si>
  <si>
    <t>Monday, May 30, 2022Early Close (2:00 p.m. Eastern Time): Friday, May 27, 2022</t>
  </si>
  <si>
    <t>Juneteenth</t>
  </si>
  <si>
    <t>Monday, June 20, 2022</t>
  </si>
  <si>
    <t>U.S. Independence Day</t>
  </si>
  <si>
    <t>Monday, July 4, 2022Early Close (2:00 p.m. Eastern Time): Friday, July 1, 2022</t>
  </si>
  <si>
    <t>Gray cells represent the unknown values at the cut-off date</t>
  </si>
  <si>
    <t>Labor Day</t>
  </si>
  <si>
    <t>* SOFR Index is published on the current date</t>
  </si>
  <si>
    <t>Monday, September 5, 2022</t>
  </si>
  <si>
    <t>**SOFR Index is published on the following working day</t>
  </si>
  <si>
    <t>Columbus Day</t>
  </si>
  <si>
    <t>Monday, October 10, 2022</t>
  </si>
  <si>
    <t>Veterans Day</t>
  </si>
  <si>
    <t>Friday, November 11, 2022</t>
  </si>
  <si>
    <t>Thanksgiving Day</t>
  </si>
  <si>
    <t>Thursday, November 24, 2022Early Close (2:00 p.m. Eastern Time): Friday, November 25, 2022</t>
  </si>
  <si>
    <t>Christmas Day</t>
  </si>
  <si>
    <t>Monday, December 26, 2022Early Close (2:00 p.m. Eastern Time): Friday, December 23, 2022</t>
  </si>
  <si>
    <t>New Year's Day 2022/2023</t>
  </si>
  <si>
    <t>Monday, January 2, 2023Early Close (2:00 p.m. Eastern Time): Friday, December 30, 2022</t>
  </si>
  <si>
    <t>Rate SOFR</t>
  </si>
  <si>
    <t>INDEX SOFR</t>
  </si>
  <si>
    <t>From Date</t>
  </si>
  <si>
    <t>To Date</t>
  </si>
  <si>
    <t xml:space="preserve"># of days
</t>
  </si>
  <si>
    <t>SOFR Rate (%)</t>
  </si>
  <si>
    <t>Spread (%)</t>
  </si>
  <si>
    <t>All-in Rate (%)</t>
  </si>
  <si>
    <t>Total Interest Accrued $</t>
  </si>
  <si>
    <t>For the last 60 days of the billing cycle</t>
  </si>
  <si>
    <t>TOTAL INTEREST</t>
  </si>
  <si>
    <t>Simple</t>
  </si>
  <si>
    <t>Original Number of Installments</t>
  </si>
  <si>
    <t>Renegotiated Number of Installments</t>
  </si>
  <si>
    <t>24 on top of remaining 15 from the original agreement</t>
  </si>
  <si>
    <t>DOD ($)</t>
  </si>
  <si>
    <t>SUSPENDED PAYMENTS</t>
  </si>
  <si>
    <t>PAYMENTS ARE RESUMED</t>
  </si>
  <si>
    <t>Total Amount Disbursed</t>
  </si>
  <si>
    <t>Interest Rate (Initial) (%  p.y.)</t>
  </si>
  <si>
    <t>Disbursement 1 
Dec-2021</t>
  </si>
  <si>
    <t>Disbursement 2 
Mar-2022</t>
  </si>
  <si>
    <t xml:space="preserve">CoFee </t>
  </si>
  <si>
    <t>CHART</t>
  </si>
  <si>
    <t>Disbursement / DOD $</t>
  </si>
  <si>
    <t>Number of installments - Profile 1</t>
  </si>
  <si>
    <t>Number of installments - Profile 2</t>
  </si>
  <si>
    <t>Estimated All-In Rate</t>
  </si>
  <si>
    <t>“A bottom-up approach”</t>
  </si>
  <si>
    <t>The World Bank Group</t>
  </si>
  <si>
    <t>Andre Proite and Marcelo Vitorino</t>
  </si>
  <si>
    <t>Managing Sovereign Loans</t>
  </si>
  <si>
    <t>Box 1 – Using Multiple Tranches to Represent a Cash Flow of a Fixed Rate Loan</t>
  </si>
  <si>
    <t>Box 2 – Example of CAS with 2 Planned Amortization Lines</t>
  </si>
  <si>
    <t>Box 3 – Example of CAS with a Disbursement during the Amortization Phase</t>
  </si>
  <si>
    <t>Box 5 – Cash Flow of a PRICE Loan with a Disbursement</t>
  </si>
  <si>
    <t>Box 6 – Changing DOD and Variable Interest Rate – Detailed Cash Flow</t>
  </si>
  <si>
    <t>Box 7 – Disbursement During the Amortization Phase and Variable Interest Rate</t>
  </si>
  <si>
    <t>Box 8 – The Effect of Day Count Convention – The case of Bhutan</t>
  </si>
  <si>
    <t>Box 9 – Effect of the Invoice Cut-Off date - Constant DOD and Fixed Interest Rate</t>
  </si>
  <si>
    <t>Box 10 – Effect of Truncation Rules - Constant DOD and Fixed Interest Rate Cash Flow</t>
  </si>
  <si>
    <t>Box 11 – Currency Conversion Cash Flow</t>
  </si>
  <si>
    <t>Box 12 – Indexed DOD Cash Flow</t>
  </si>
  <si>
    <t>Box 13 – SOFR Indexed Cash flow</t>
  </si>
  <si>
    <t>Box 14 – Cash Flow for IBRD SOFR Loan</t>
  </si>
  <si>
    <t>Box 15 – Debt Suspension: Interest Accruals Integrated in the DOD</t>
  </si>
  <si>
    <t>Page</t>
  </si>
  <si>
    <t xml:space="preserve">Box 7 – Disbursement During the Amortization Phase and Variable Interest Rate </t>
  </si>
  <si>
    <t># of Suspended Payments between 2019 and 2020</t>
  </si>
  <si>
    <t>Box 4 – Detailed PAS cash flow</t>
  </si>
  <si>
    <t>Payments are resumed=&gt; Extended timeline</t>
  </si>
  <si>
    <t>This file details the cash flow computations shown in the examples from the Guidance Note.  Readers are encouraged to use this file to facilitate understanding the formulas applied for computing the cash flows.  Users can edit the parameters with their own debt instruments and calendar.  This spreadsheet does not aim to substitute debt recording systems and should be used carefully by users when monitoring their debt and approaching creditors regarding the debt cashflows.  The formulas and templates are provided for didactic and illustrative purposes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</si>
</sst>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2" formatCode="_(&quot;$&quot;* #,##0_);_(&quot;$&quot;* \(#,##0\);_(&quot;$&quot;* &quot;-&quot;_);_(@_)"/>
    <numFmt numFmtId="44" formatCode="_(&quot;$&quot;* #,##0.00_);_(&quot;$&quot;* \(#,##0.00\);_(&quot;$&quot;* &quot;-&quot;??_);_(@_)"/>
    <numFmt numFmtId="43" formatCode="_(* #,##0.00_);_(* \(#,##0.00\);_(* &quot;-&quot;??_);_(@_)"/>
    <numFmt numFmtId="164" formatCode="_-* #,##0.00_-;\-* #,##0.00_-;_-* &quot;-&quot;??_-;_-@_-"/>
    <numFmt numFmtId="165" formatCode="0.00000000"/>
    <numFmt numFmtId="166" formatCode="0.0"/>
    <numFmt numFmtId="167" formatCode="_(* #,##0_);_(* \(#,##0\);_(* &quot;-&quot;??_);_(@_)"/>
    <numFmt numFmtId="168" formatCode="_(* #,##0.00000000_);_(* \(#,##0.00000000\);_(* &quot;-&quot;??_);_(@_)"/>
    <numFmt numFmtId="169" formatCode="0.0000%"/>
    <numFmt numFmtId="170" formatCode="0.00000000000%"/>
    <numFmt numFmtId="171" formatCode="0.0%"/>
    <numFmt numFmtId="172" formatCode="0.000%"/>
    <numFmt numFmtId="173" formatCode="#,##0.00_ ;[Red]\-#,##0.00\ "/>
    <numFmt numFmtId="174" formatCode="_-* #,##0_-;\-* #,##0_-;_-* &quot;-&quot;??_-;_-@_-"/>
    <numFmt numFmtId="175" formatCode="_(* #,##0.000000_);_(* \(#,##0.000000\);_(* &quot;-&quot;??_);_(@_)"/>
    <numFmt numFmtId="176" formatCode="_-* #,##0.000000_-;\-* #,##0.000000_-;_-* &quot;-&quot;??_-;_-@_-"/>
    <numFmt numFmtId="177" formatCode="_(* #,##0.0_);_(* \(#,##0.0\);_(* &quot;-&quot;??_);_(@_)"/>
    <numFmt numFmtId="178" formatCode="_-* #,##0.0_-;\-* #,##0.0_-;_-* &quot;-&quot;??_-;_-@_-"/>
    <numFmt numFmtId="179" formatCode="[$-F800]dddd\,\ mmmm\ dd\,\ yyyy"/>
    <numFmt numFmtId="180" formatCode="0.0000000000"/>
    <numFmt numFmtId="181" formatCode="mm/dd/yy;@"/>
    <numFmt numFmtId="182" formatCode="0.0000000%"/>
    <numFmt numFmtId="183" formatCode="_(&quot;$&quot;* #,##0_);_(&quot;$&quot;* \(#,##0\);_(&quot;$&quot;* &quot;-&quot;??_);_(@_)"/>
    <numFmt numFmtId="184" formatCode="0.000000"/>
  </numFmts>
  <fonts count="57">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1"/>
      <color theme="4"/>
      <name val="Calibri"/>
      <family val="2"/>
      <scheme val="minor"/>
    </font>
    <font>
      <b/>
      <sz val="11"/>
      <color rgb="FFFF0000"/>
      <name val="Calibri"/>
      <family val="2"/>
      <scheme val="minor"/>
    </font>
    <font>
      <sz val="10"/>
      <name val="Arial"/>
      <family val="2"/>
    </font>
    <font>
      <b/>
      <sz val="10"/>
      <color rgb="FFFF0000"/>
      <name val="Arial"/>
      <family val="2"/>
    </font>
    <font>
      <b/>
      <sz val="10"/>
      <name val="Arial"/>
      <family val="2"/>
    </font>
    <font>
      <sz val="11"/>
      <color theme="8"/>
      <name val="Calibri"/>
      <family val="2"/>
      <scheme val="minor"/>
    </font>
    <font>
      <sz val="10"/>
      <color theme="8"/>
      <name val="Arial"/>
      <family val="2"/>
    </font>
    <font>
      <sz val="10"/>
      <color rgb="FF00B050"/>
      <name val="Arial"/>
      <family val="2"/>
    </font>
    <font>
      <sz val="12"/>
      <name val="Arial"/>
      <family val="2"/>
    </font>
    <font>
      <sz val="12"/>
      <color theme="1"/>
      <name val="Calibri"/>
      <family val="2"/>
      <scheme val="minor"/>
    </font>
    <font>
      <b/>
      <i/>
      <sz val="12"/>
      <color rgb="FFC00000"/>
      <name val="Arial"/>
      <family val="2"/>
    </font>
    <font>
      <b/>
      <sz val="12"/>
      <name val="Arial"/>
      <family val="2"/>
    </font>
    <font>
      <b/>
      <sz val="12"/>
      <color theme="1"/>
      <name val="Calibri"/>
      <family val="2"/>
      <scheme val="minor"/>
    </font>
    <font>
      <i/>
      <sz val="12"/>
      <color rgb="FFC00000"/>
      <name val="Arial"/>
      <family val="2"/>
    </font>
    <font>
      <sz val="11"/>
      <color theme="0"/>
      <name val="Calibri"/>
      <family val="2"/>
      <scheme val="minor"/>
    </font>
    <font>
      <sz val="11"/>
      <color rgb="FF0070C0"/>
      <name val="Calibri"/>
      <family val="2"/>
      <scheme val="minor"/>
    </font>
    <font>
      <b/>
      <sz val="11"/>
      <name val="Calibri"/>
      <family val="2"/>
      <scheme val="minor"/>
    </font>
    <font>
      <i/>
      <sz val="11"/>
      <color rgb="FFC00000"/>
      <name val="Calibri"/>
      <family val="2"/>
      <scheme val="minor"/>
    </font>
    <font>
      <b/>
      <i/>
      <sz val="11"/>
      <color rgb="FFC00000"/>
      <name val="Calibri"/>
      <family val="2"/>
      <scheme val="minor"/>
    </font>
    <font>
      <sz val="11"/>
      <color theme="4"/>
      <name val="Calibri"/>
      <family val="2"/>
      <scheme val="minor"/>
    </font>
    <font>
      <b/>
      <sz val="11"/>
      <color rgb="FF0070C0"/>
      <name val="Calibri"/>
      <family val="2"/>
      <scheme val="minor"/>
    </font>
    <font>
      <sz val="11"/>
      <color rgb="FFC00000"/>
      <name val="Calibri"/>
      <family val="2"/>
      <scheme val="minor"/>
    </font>
    <font>
      <sz val="11"/>
      <name val="Calibri"/>
      <family val="2"/>
      <scheme val="minor"/>
    </font>
    <font>
      <sz val="11"/>
      <color rgb="FF000000"/>
      <name val="Calibri"/>
      <family val="2"/>
      <scheme val="minor"/>
    </font>
    <font>
      <b/>
      <sz val="11"/>
      <color rgb="FF000000"/>
      <name val="Calibri"/>
      <family val="2"/>
      <scheme val="minor"/>
    </font>
    <font>
      <sz val="11"/>
      <color rgb="FF4472C4"/>
      <name val="Calibri"/>
      <family val="2"/>
      <scheme val="minor"/>
    </font>
    <font>
      <vertAlign val="subscript"/>
      <sz val="11"/>
      <color theme="1"/>
      <name val="Calibri"/>
      <family val="2"/>
      <scheme val="minor"/>
    </font>
    <font>
      <sz val="11"/>
      <color rgb="FF000000"/>
      <name val="Calibri"/>
      <family val="2"/>
    </font>
    <font>
      <b/>
      <sz val="11"/>
      <color theme="0"/>
      <name val="Calibri"/>
      <family val="2"/>
      <scheme val="minor"/>
    </font>
    <font>
      <b/>
      <sz val="11"/>
      <color rgb="FF000000"/>
      <name val="Calibri"/>
      <family val="2"/>
    </font>
    <font>
      <b/>
      <sz val="11"/>
      <name val="Optimum"/>
    </font>
    <font>
      <b/>
      <sz val="10"/>
      <color rgb="FF000000"/>
      <name val="Calibri"/>
      <family val="2"/>
    </font>
    <font>
      <i/>
      <sz val="11"/>
      <name val="Calibri"/>
      <family val="2"/>
      <scheme val="minor"/>
    </font>
    <font>
      <b/>
      <i/>
      <sz val="11"/>
      <name val="Calibri"/>
      <family val="2"/>
      <scheme val="minor"/>
    </font>
    <font>
      <b/>
      <i/>
      <sz val="11"/>
      <color theme="1"/>
      <name val="Calibri"/>
      <family val="2"/>
      <scheme val="minor"/>
    </font>
    <font>
      <i/>
      <sz val="11"/>
      <color theme="1"/>
      <name val="Calibri"/>
      <family val="2"/>
      <scheme val="minor"/>
    </font>
    <font>
      <sz val="12"/>
      <color theme="4"/>
      <name val="Calibri"/>
      <family val="2"/>
      <scheme val="minor"/>
    </font>
    <font>
      <sz val="12"/>
      <color rgb="FF0070C0"/>
      <name val="Calibri"/>
      <family val="2"/>
      <scheme val="minor"/>
    </font>
    <font>
      <sz val="12"/>
      <color rgb="FFFF0000"/>
      <name val="Calibri"/>
      <family val="2"/>
      <scheme val="minor"/>
    </font>
    <font>
      <sz val="12"/>
      <color theme="0"/>
      <name val="Calibri"/>
      <family val="2"/>
      <scheme val="minor"/>
    </font>
    <font>
      <b/>
      <sz val="12"/>
      <color theme="4"/>
      <name val="Calibri"/>
      <family val="2"/>
      <scheme val="minor"/>
    </font>
    <font>
      <b/>
      <sz val="12"/>
      <color rgb="FF0070C0"/>
      <name val="Calibri"/>
      <family val="2"/>
      <scheme val="minor"/>
    </font>
    <font>
      <b/>
      <sz val="11"/>
      <color rgb="FF666666"/>
      <name val="Arial"/>
      <family val="2"/>
    </font>
    <font>
      <b/>
      <sz val="11"/>
      <name val="Calibri"/>
      <family val="2"/>
    </font>
    <font>
      <sz val="11"/>
      <color rgb="FF00B050"/>
      <name val="Calibri"/>
      <family val="2"/>
      <scheme val="minor"/>
    </font>
    <font>
      <sz val="11"/>
      <color theme="5"/>
      <name val="Calibri"/>
      <family val="2"/>
      <scheme val="minor"/>
    </font>
    <font>
      <sz val="18"/>
      <color theme="1"/>
      <name val="Calibri"/>
      <family val="2"/>
      <scheme val="minor"/>
    </font>
    <font>
      <u/>
      <sz val="11"/>
      <color theme="10"/>
      <name val="Calibri"/>
      <family val="2"/>
      <scheme val="minor"/>
    </font>
    <font>
      <b/>
      <sz val="11"/>
      <color rgb="FFFF0000"/>
      <name val="Arial"/>
      <family val="2"/>
    </font>
    <font>
      <sz val="11"/>
      <name val="Arial"/>
      <family val="2"/>
    </font>
    <font>
      <b/>
      <sz val="11"/>
      <name val="Arial"/>
      <family val="2"/>
    </font>
    <font>
      <sz val="11"/>
      <color rgb="FFFF0000"/>
      <name val="Arial"/>
      <family val="2"/>
    </font>
    <font>
      <b/>
      <sz val="9"/>
      <name val="Arial"/>
      <family val="2"/>
    </font>
  </fonts>
  <fills count="2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000"/>
        <bgColor rgb="FF000000"/>
      </patternFill>
    </fill>
    <fill>
      <patternFill patternType="solid">
        <fgColor rgb="FFFFFFFF"/>
        <bgColor rgb="FF000000"/>
      </patternFill>
    </fill>
    <fill>
      <patternFill patternType="solid">
        <fgColor rgb="FFFFFF00"/>
        <bgColor rgb="FF000000"/>
      </patternFill>
    </fill>
    <fill>
      <patternFill patternType="solid">
        <fgColor rgb="FFD9D9D9"/>
        <bgColor rgb="FF000000"/>
      </patternFill>
    </fill>
    <fill>
      <patternFill patternType="solid">
        <fgColor theme="9" tint="0.79998168889431442"/>
        <bgColor rgb="FF000000"/>
      </patternFill>
    </fill>
    <fill>
      <patternFill patternType="solid">
        <fgColor theme="5" tint="0.59999389629810485"/>
        <bgColor indexed="64"/>
      </patternFill>
    </fill>
    <fill>
      <patternFill patternType="solid">
        <fgColor theme="5"/>
        <bgColor indexed="64"/>
      </patternFill>
    </fill>
    <fill>
      <patternFill patternType="solid">
        <fgColor theme="0" tint="-0.499984740745262"/>
        <bgColor indexed="64"/>
      </patternFill>
    </fill>
    <fill>
      <patternFill patternType="solid">
        <fgColor theme="9"/>
        <bgColor indexed="64"/>
      </patternFill>
    </fill>
    <fill>
      <patternFill patternType="solid">
        <fgColor rgb="FFC000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5F2ED"/>
        <bgColor indexed="64"/>
      </patternFill>
    </fill>
    <fill>
      <patternFill patternType="solid">
        <fgColor theme="4" tint="0.79998168889431442"/>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medium">
        <color rgb="FFC00000"/>
      </left>
      <right style="medium">
        <color rgb="FFC00000"/>
      </right>
      <top style="medium">
        <color rgb="FFC00000"/>
      </top>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
      <left style="double">
        <color rgb="FFC00000"/>
      </left>
      <right style="double">
        <color rgb="FFC00000"/>
      </right>
      <top style="double">
        <color rgb="FFC00000"/>
      </top>
      <bottom style="double">
        <color rgb="FFC00000"/>
      </bottom>
      <diagonal/>
    </border>
    <border>
      <left/>
      <right style="thin">
        <color indexed="64"/>
      </right>
      <top/>
      <bottom/>
      <diagonal/>
    </border>
  </borders>
  <cellStyleXfs count="9">
    <xf numFmtId="0" fontId="0" fillId="0" borderId="0"/>
    <xf numFmtId="164" fontId="1"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0" fontId="6" fillId="0" borderId="0"/>
    <xf numFmtId="43" fontId="1" fillId="0" borderId="0" applyFont="0" applyFill="0" applyBorder="0" applyAlignment="0" applyProtection="0"/>
    <xf numFmtId="43" fontId="6" fillId="0" borderId="0" applyFont="0" applyFill="0" applyBorder="0" applyAlignment="0" applyProtection="0"/>
    <xf numFmtId="0" fontId="6" fillId="0" borderId="0"/>
    <xf numFmtId="0" fontId="51" fillId="0" borderId="0" applyNumberFormat="0" applyFill="0" applyBorder="0" applyAlignment="0" applyProtection="0"/>
  </cellStyleXfs>
  <cellXfs count="676">
    <xf numFmtId="0" fontId="0" fillId="0" borderId="0" xfId="0"/>
    <xf numFmtId="164" fontId="0" fillId="0" borderId="0" xfId="1" applyFont="1"/>
    <xf numFmtId="164" fontId="0" fillId="0" borderId="0" xfId="0" applyNumberFormat="1"/>
    <xf numFmtId="14" fontId="0" fillId="0" borderId="0" xfId="0" applyNumberFormat="1"/>
    <xf numFmtId="0" fontId="3" fillId="0" borderId="0" xfId="0" applyFont="1"/>
    <xf numFmtId="43" fontId="0" fillId="0" borderId="0" xfId="0" applyNumberFormat="1"/>
    <xf numFmtId="0" fontId="0" fillId="3" borderId="0" xfId="0" applyFill="1"/>
    <xf numFmtId="164" fontId="0" fillId="3" borderId="0" xfId="1" applyFont="1" applyFill="1" applyBorder="1" applyAlignment="1">
      <alignment horizontal="center" vertical="center"/>
    </xf>
    <xf numFmtId="0" fontId="3" fillId="3" borderId="2" xfId="0" applyFont="1" applyFill="1" applyBorder="1"/>
    <xf numFmtId="166" fontId="3" fillId="3" borderId="2" xfId="0" applyNumberFormat="1" applyFont="1" applyFill="1" applyBorder="1"/>
    <xf numFmtId="0" fontId="3" fillId="3" borderId="2" xfId="0" applyFont="1" applyFill="1" applyBorder="1" applyAlignment="1">
      <alignment horizontal="center" vertical="center"/>
    </xf>
    <xf numFmtId="0" fontId="3" fillId="3" borderId="3" xfId="0" applyFont="1" applyFill="1" applyBorder="1"/>
    <xf numFmtId="0" fontId="3" fillId="3" borderId="3" xfId="0" applyFont="1" applyFill="1" applyBorder="1" applyAlignment="1">
      <alignment horizontal="center" vertical="center"/>
    </xf>
    <xf numFmtId="166" fontId="3" fillId="3" borderId="3" xfId="0" applyNumberFormat="1" applyFont="1" applyFill="1" applyBorder="1"/>
    <xf numFmtId="14" fontId="0" fillId="3" borderId="0" xfId="0" applyNumberFormat="1" applyFill="1"/>
    <xf numFmtId="0" fontId="4" fillId="0" borderId="0" xfId="0" applyFont="1"/>
    <xf numFmtId="0" fontId="3" fillId="2" borderId="4" xfId="0" applyFont="1" applyFill="1" applyBorder="1"/>
    <xf numFmtId="4" fontId="0" fillId="0" borderId="4" xfId="1" applyNumberFormat="1" applyFont="1" applyBorder="1" applyAlignment="1">
      <alignment horizontal="center"/>
    </xf>
    <xf numFmtId="164" fontId="0" fillId="4" borderId="0" xfId="1" applyFont="1" applyFill="1"/>
    <xf numFmtId="164" fontId="0" fillId="3" borderId="0" xfId="1" applyFont="1" applyFill="1"/>
    <xf numFmtId="43" fontId="0" fillId="3" borderId="0" xfId="1" applyNumberFormat="1" applyFont="1" applyFill="1"/>
    <xf numFmtId="164" fontId="0" fillId="3" borderId="0" xfId="1" applyFont="1" applyFill="1" applyAlignment="1">
      <alignment horizontal="center"/>
    </xf>
    <xf numFmtId="14" fontId="0" fillId="3" borderId="4" xfId="1" applyNumberFormat="1" applyFont="1" applyFill="1" applyBorder="1" applyAlignment="1">
      <alignment horizontal="center"/>
    </xf>
    <xf numFmtId="164" fontId="0" fillId="3" borderId="4" xfId="1" applyFont="1" applyFill="1" applyBorder="1" applyAlignment="1">
      <alignment horizontal="center" vertical="center"/>
    </xf>
    <xf numFmtId="164" fontId="0" fillId="3" borderId="0" xfId="1" applyFont="1" applyFill="1" applyBorder="1" applyAlignment="1">
      <alignment horizontal="center"/>
    </xf>
    <xf numFmtId="0" fontId="5" fillId="3" borderId="0" xfId="0" applyFont="1" applyFill="1"/>
    <xf numFmtId="14" fontId="9" fillId="0" borderId="4" xfId="4" applyNumberFormat="1" applyFont="1" applyBorder="1"/>
    <xf numFmtId="4" fontId="9" fillId="0" borderId="4" xfId="3" applyNumberFormat="1" applyFont="1" applyBorder="1" applyAlignment="1">
      <alignment horizontal="right"/>
    </xf>
    <xf numFmtId="14" fontId="10" fillId="0" borderId="4" xfId="4" applyNumberFormat="1" applyFont="1" applyBorder="1"/>
    <xf numFmtId="14" fontId="2" fillId="0" borderId="4" xfId="4" applyNumberFormat="1" applyFont="1" applyBorder="1"/>
    <xf numFmtId="4" fontId="2" fillId="0" borderId="4" xfId="3" applyNumberFormat="1" applyFont="1" applyBorder="1" applyAlignment="1">
      <alignment horizontal="right"/>
    </xf>
    <xf numFmtId="4" fontId="10" fillId="0" borderId="4" xfId="3" applyNumberFormat="1" applyFont="1" applyBorder="1" applyAlignment="1">
      <alignment horizontal="right"/>
    </xf>
    <xf numFmtId="14" fontId="8" fillId="0" borderId="4" xfId="4" applyNumberFormat="1" applyFont="1" applyBorder="1" applyAlignment="1">
      <alignment horizontal="center"/>
    </xf>
    <xf numFmtId="43" fontId="8" fillId="0" borderId="4" xfId="3" applyFont="1" applyBorder="1" applyAlignment="1">
      <alignment horizontal="center"/>
    </xf>
    <xf numFmtId="43" fontId="7" fillId="3" borderId="0" xfId="3" applyFont="1" applyFill="1" applyBorder="1"/>
    <xf numFmtId="43" fontId="7" fillId="3" borderId="0" xfId="3" applyFont="1" applyFill="1" applyBorder="1" applyAlignment="1">
      <alignment horizontal="center"/>
    </xf>
    <xf numFmtId="43" fontId="0" fillId="3" borderId="0" xfId="3" applyFont="1" applyFill="1"/>
    <xf numFmtId="14" fontId="8" fillId="3" borderId="0" xfId="3" applyNumberFormat="1" applyFont="1" applyFill="1"/>
    <xf numFmtId="169" fontId="0" fillId="3" borderId="0" xfId="2" applyNumberFormat="1" applyFont="1" applyFill="1" applyBorder="1"/>
    <xf numFmtId="170" fontId="0" fillId="3" borderId="0" xfId="2" applyNumberFormat="1" applyFont="1" applyFill="1" applyBorder="1"/>
    <xf numFmtId="43" fontId="3" fillId="3" borderId="0" xfId="3" applyFont="1" applyFill="1"/>
    <xf numFmtId="14" fontId="11" fillId="3" borderId="0" xfId="3" applyNumberFormat="1" applyFont="1" applyFill="1" applyAlignment="1">
      <alignment horizontal="right"/>
    </xf>
    <xf numFmtId="14" fontId="11" fillId="3" borderId="0" xfId="3" applyNumberFormat="1" applyFont="1" applyFill="1" applyAlignment="1">
      <alignment horizontal="center"/>
    </xf>
    <xf numFmtId="164" fontId="12" fillId="3" borderId="4" xfId="1" applyFont="1" applyFill="1" applyBorder="1"/>
    <xf numFmtId="43" fontId="13" fillId="3" borderId="4" xfId="3" applyFont="1" applyFill="1" applyBorder="1"/>
    <xf numFmtId="43" fontId="13" fillId="3" borderId="0" xfId="3" applyFont="1" applyFill="1"/>
    <xf numFmtId="0" fontId="13" fillId="3" borderId="0" xfId="0" applyFont="1" applyFill="1"/>
    <xf numFmtId="14" fontId="13" fillId="3" borderId="4" xfId="3" applyNumberFormat="1" applyFont="1" applyFill="1" applyBorder="1" applyAlignment="1">
      <alignment horizontal="center"/>
    </xf>
    <xf numFmtId="0" fontId="13" fillId="3" borderId="4" xfId="3" applyNumberFormat="1" applyFont="1" applyFill="1" applyBorder="1" applyAlignment="1">
      <alignment horizontal="center"/>
    </xf>
    <xf numFmtId="168" fontId="13" fillId="3" borderId="0" xfId="3" applyNumberFormat="1" applyFont="1" applyFill="1"/>
    <xf numFmtId="164" fontId="12" fillId="3" borderId="5" xfId="1" applyFont="1" applyFill="1" applyBorder="1"/>
    <xf numFmtId="164" fontId="13" fillId="3" borderId="5" xfId="1" applyFont="1" applyFill="1" applyBorder="1" applyAlignment="1">
      <alignment horizontal="center" vertical="center"/>
    </xf>
    <xf numFmtId="164" fontId="14" fillId="3" borderId="4" xfId="1" applyFont="1" applyFill="1" applyBorder="1"/>
    <xf numFmtId="164" fontId="14" fillId="3" borderId="4" xfId="1" applyFont="1" applyFill="1" applyBorder="1" applyAlignment="1">
      <alignment horizontal="center"/>
    </xf>
    <xf numFmtId="43" fontId="12" fillId="3" borderId="0" xfId="3" applyFont="1" applyFill="1" applyBorder="1"/>
    <xf numFmtId="43" fontId="13" fillId="3" borderId="0" xfId="3" applyFont="1" applyFill="1" applyBorder="1" applyAlignment="1">
      <alignment horizontal="center"/>
    </xf>
    <xf numFmtId="14" fontId="12" fillId="3" borderId="0" xfId="4" applyNumberFormat="1" applyFont="1" applyFill="1"/>
    <xf numFmtId="164" fontId="15" fillId="3" borderId="4" xfId="1" applyFont="1" applyFill="1" applyBorder="1" applyAlignment="1">
      <alignment horizontal="center" vertical="center"/>
    </xf>
    <xf numFmtId="43" fontId="16" fillId="3" borderId="4" xfId="3" applyFont="1" applyFill="1" applyBorder="1" applyAlignment="1">
      <alignment horizontal="center" vertical="center" wrapText="1"/>
    </xf>
    <xf numFmtId="14" fontId="15" fillId="3" borderId="4" xfId="0" applyNumberFormat="1" applyFont="1" applyFill="1" applyBorder="1" applyAlignment="1">
      <alignment horizontal="center" vertical="center" wrapText="1"/>
    </xf>
    <xf numFmtId="14" fontId="13" fillId="3" borderId="0" xfId="3" applyNumberFormat="1" applyFont="1" applyFill="1"/>
    <xf numFmtId="43" fontId="13" fillId="3" borderId="0" xfId="3" applyFont="1" applyFill="1" applyAlignment="1">
      <alignment horizontal="center"/>
    </xf>
    <xf numFmtId="14" fontId="14" fillId="3" borderId="0" xfId="1" applyNumberFormat="1" applyFont="1" applyFill="1"/>
    <xf numFmtId="164" fontId="17" fillId="3" borderId="0" xfId="1" applyFont="1" applyFill="1" applyAlignment="1">
      <alignment horizontal="center"/>
    </xf>
    <xf numFmtId="14" fontId="15" fillId="4" borderId="0" xfId="3" applyNumberFormat="1" applyFont="1" applyFill="1"/>
    <xf numFmtId="43" fontId="13" fillId="4" borderId="0" xfId="3" applyFont="1" applyFill="1"/>
    <xf numFmtId="169" fontId="13" fillId="4" borderId="0" xfId="2" applyNumberFormat="1" applyFont="1" applyFill="1" applyBorder="1"/>
    <xf numFmtId="43" fontId="16" fillId="4" borderId="0" xfId="3" applyFont="1" applyFill="1"/>
    <xf numFmtId="164" fontId="13" fillId="3" borderId="0" xfId="1" applyFont="1" applyFill="1"/>
    <xf numFmtId="14" fontId="15" fillId="3" borderId="0" xfId="3" applyNumberFormat="1" applyFont="1" applyFill="1"/>
    <xf numFmtId="169" fontId="13" fillId="3" borderId="0" xfId="2" applyNumberFormat="1" applyFont="1" applyFill="1" applyBorder="1"/>
    <xf numFmtId="43" fontId="16" fillId="3" borderId="0" xfId="3" applyFont="1" applyFill="1"/>
    <xf numFmtId="0" fontId="13" fillId="3" borderId="0" xfId="0" applyFont="1" applyFill="1" applyAlignment="1">
      <alignment horizontal="left"/>
    </xf>
    <xf numFmtId="171" fontId="13" fillId="3" borderId="4" xfId="2" applyNumberFormat="1" applyFont="1" applyFill="1" applyBorder="1"/>
    <xf numFmtId="0" fontId="0" fillId="0" borderId="0" xfId="0" applyAlignment="1">
      <alignment vertical="center"/>
    </xf>
    <xf numFmtId="0" fontId="3" fillId="2" borderId="4" xfId="0" applyFont="1" applyFill="1" applyBorder="1" applyAlignment="1">
      <alignment horizontal="center"/>
    </xf>
    <xf numFmtId="0" fontId="20" fillId="2" borderId="4" xfId="0" applyFont="1" applyFill="1" applyBorder="1" applyAlignment="1">
      <alignment horizontal="center"/>
    </xf>
    <xf numFmtId="0" fontId="19" fillId="0" borderId="4" xfId="0" applyFont="1" applyBorder="1"/>
    <xf numFmtId="0" fontId="19" fillId="0" borderId="4" xfId="0" applyFont="1" applyBorder="1" applyAlignment="1">
      <alignment horizontal="right"/>
    </xf>
    <xf numFmtId="14" fontId="2" fillId="0" borderId="4" xfId="0" applyNumberFormat="1" applyFont="1" applyBorder="1"/>
    <xf numFmtId="14" fontId="3" fillId="4" borderId="0" xfId="0" applyNumberFormat="1" applyFont="1" applyFill="1"/>
    <xf numFmtId="164" fontId="3" fillId="4" borderId="0" xfId="1" applyFont="1" applyFill="1"/>
    <xf numFmtId="14" fontId="0" fillId="8" borderId="0" xfId="0" applyNumberFormat="1" applyFill="1"/>
    <xf numFmtId="0" fontId="24" fillId="3" borderId="0" xfId="0" applyFont="1" applyFill="1"/>
    <xf numFmtId="0" fontId="19" fillId="3" borderId="0" xfId="0" applyFont="1" applyFill="1"/>
    <xf numFmtId="0" fontId="19" fillId="3" borderId="4" xfId="0" applyFont="1" applyFill="1" applyBorder="1"/>
    <xf numFmtId="0" fontId="3" fillId="4" borderId="0" xfId="0" applyFont="1" applyFill="1"/>
    <xf numFmtId="174" fontId="0" fillId="0" borderId="0" xfId="1" applyNumberFormat="1" applyFont="1"/>
    <xf numFmtId="164" fontId="3" fillId="8" borderId="0" xfId="1" applyFont="1" applyFill="1"/>
    <xf numFmtId="0" fontId="3" fillId="8" borderId="0" xfId="0" applyFont="1" applyFill="1"/>
    <xf numFmtId="14" fontId="3" fillId="8" borderId="0" xfId="0" applyNumberFormat="1" applyFont="1" applyFill="1"/>
    <xf numFmtId="0" fontId="3" fillId="0" borderId="4" xfId="0" applyFont="1" applyBorder="1" applyAlignment="1">
      <alignment horizontal="center" vertical="center" wrapText="1"/>
    </xf>
    <xf numFmtId="14" fontId="0" fillId="11" borderId="4" xfId="0" applyNumberFormat="1" applyFill="1" applyBorder="1"/>
    <xf numFmtId="0" fontId="27" fillId="0" borderId="0" xfId="0" applyFont="1"/>
    <xf numFmtId="0" fontId="28" fillId="12" borderId="0" xfId="0" applyFont="1" applyFill="1"/>
    <xf numFmtId="0" fontId="27" fillId="12" borderId="0" xfId="0" applyFont="1" applyFill="1"/>
    <xf numFmtId="0" fontId="27" fillId="13" borderId="0" xfId="0" applyFont="1" applyFill="1"/>
    <xf numFmtId="0" fontId="27" fillId="0" borderId="4" xfId="0" applyFont="1" applyBorder="1"/>
    <xf numFmtId="10" fontId="19" fillId="0" borderId="4" xfId="0" applyNumberFormat="1" applyFont="1" applyBorder="1"/>
    <xf numFmtId="14" fontId="27" fillId="0" borderId="4" xfId="0" applyNumberFormat="1" applyFont="1" applyBorder="1"/>
    <xf numFmtId="0" fontId="28" fillId="14" borderId="4" xfId="0" applyFont="1" applyFill="1" applyBorder="1" applyAlignment="1">
      <alignment horizontal="center"/>
    </xf>
    <xf numFmtId="0" fontId="21" fillId="15" borderId="0" xfId="0" applyFont="1" applyFill="1" applyAlignment="1">
      <alignment horizontal="center"/>
    </xf>
    <xf numFmtId="14" fontId="22" fillId="15" borderId="0" xfId="0" applyNumberFormat="1" applyFont="1" applyFill="1"/>
    <xf numFmtId="0" fontId="27" fillId="0" borderId="6" xfId="0" applyFont="1" applyBorder="1"/>
    <xf numFmtId="0" fontId="21" fillId="15" borderId="0" xfId="0" applyFont="1" applyFill="1"/>
    <xf numFmtId="14" fontId="29" fillId="0" borderId="0" xfId="0" applyNumberFormat="1" applyFont="1"/>
    <xf numFmtId="4" fontId="29" fillId="0" borderId="0" xfId="0" applyNumberFormat="1" applyFont="1"/>
    <xf numFmtId="0" fontId="22" fillId="15" borderId="0" xfId="0" applyFont="1" applyFill="1"/>
    <xf numFmtId="14" fontId="28" fillId="12" borderId="0" xfId="0" applyNumberFormat="1" applyFont="1" applyFill="1"/>
    <xf numFmtId="4" fontId="27" fillId="12" borderId="0" xfId="0" applyNumberFormat="1" applyFont="1" applyFill="1"/>
    <xf numFmtId="0" fontId="28" fillId="0" borderId="4" xfId="0" applyFont="1" applyBorder="1" applyAlignment="1">
      <alignment horizontal="center" wrapText="1"/>
    </xf>
    <xf numFmtId="0" fontId="28" fillId="0" borderId="4" xfId="0" applyFont="1" applyBorder="1" applyAlignment="1">
      <alignment horizontal="center" vertical="top" wrapText="1"/>
    </xf>
    <xf numFmtId="0" fontId="28" fillId="0" borderId="8" xfId="0" applyFont="1" applyBorder="1" applyAlignment="1">
      <alignment horizontal="center" vertical="top" wrapText="1"/>
    </xf>
    <xf numFmtId="14" fontId="22" fillId="15" borderId="0" xfId="0" applyNumberFormat="1" applyFont="1" applyFill="1" applyAlignment="1">
      <alignment horizontal="center"/>
    </xf>
    <xf numFmtId="4" fontId="21" fillId="15" borderId="0" xfId="0" applyNumberFormat="1" applyFont="1" applyFill="1" applyAlignment="1">
      <alignment horizontal="center"/>
    </xf>
    <xf numFmtId="14" fontId="28" fillId="12" borderId="0" xfId="0" applyNumberFormat="1" applyFont="1" applyFill="1" applyAlignment="1">
      <alignment horizontal="center"/>
    </xf>
    <xf numFmtId="4" fontId="27" fillId="12" borderId="0" xfId="0" applyNumberFormat="1" applyFont="1" applyFill="1" applyAlignment="1">
      <alignment horizontal="center"/>
    </xf>
    <xf numFmtId="0" fontId="27" fillId="12" borderId="0" xfId="0" applyFont="1" applyFill="1" applyAlignment="1">
      <alignment horizontal="center"/>
    </xf>
    <xf numFmtId="0" fontId="28" fillId="12" borderId="0" xfId="0" applyFont="1" applyFill="1" applyAlignment="1">
      <alignment horizontal="center"/>
    </xf>
    <xf numFmtId="4" fontId="22" fillId="12" borderId="0" xfId="0" applyNumberFormat="1" applyFont="1" applyFill="1" applyAlignment="1">
      <alignment horizontal="center"/>
    </xf>
    <xf numFmtId="4" fontId="28" fillId="12" borderId="0" xfId="0" applyNumberFormat="1" applyFont="1" applyFill="1" applyAlignment="1">
      <alignment horizontal="center"/>
    </xf>
    <xf numFmtId="0" fontId="21" fillId="15" borderId="0" xfId="0" applyFont="1" applyFill="1" applyAlignment="1">
      <alignment horizontal="center" wrapText="1"/>
    </xf>
    <xf numFmtId="14" fontId="21" fillId="6" borderId="0" xfId="0" applyNumberFormat="1" applyFont="1" applyFill="1" applyAlignment="1">
      <alignment horizontal="center"/>
    </xf>
    <xf numFmtId="0" fontId="2" fillId="3" borderId="0" xfId="0" applyFont="1" applyFill="1" applyAlignment="1">
      <alignment horizontal="center"/>
    </xf>
    <xf numFmtId="14" fontId="29" fillId="3" borderId="4" xfId="0" applyNumberFormat="1" applyFont="1" applyFill="1" applyBorder="1"/>
    <xf numFmtId="4" fontId="19" fillId="3" borderId="4" xfId="0" applyNumberFormat="1" applyFont="1" applyFill="1" applyBorder="1"/>
    <xf numFmtId="0" fontId="2" fillId="3" borderId="0" xfId="0" applyFont="1" applyFill="1"/>
    <xf numFmtId="0" fontId="27" fillId="3" borderId="0" xfId="0" applyFont="1" applyFill="1"/>
    <xf numFmtId="3" fontId="21" fillId="15" borderId="4" xfId="0" applyNumberFormat="1" applyFont="1" applyFill="1" applyBorder="1" applyAlignment="1">
      <alignment horizontal="center"/>
    </xf>
    <xf numFmtId="0" fontId="27" fillId="5" borderId="0" xfId="0" applyFont="1" applyFill="1" applyAlignment="1">
      <alignment horizontal="right"/>
    </xf>
    <xf numFmtId="0" fontId="27" fillId="5" borderId="0" xfId="0" applyFont="1" applyFill="1"/>
    <xf numFmtId="0" fontId="27" fillId="3" borderId="1" xfId="0" applyFont="1" applyFill="1" applyBorder="1"/>
    <xf numFmtId="14" fontId="29" fillId="3" borderId="0" xfId="0" applyNumberFormat="1" applyFont="1" applyFill="1" applyAlignment="1">
      <alignment horizontal="center"/>
    </xf>
    <xf numFmtId="4" fontId="29" fillId="3" borderId="0" xfId="0" applyNumberFormat="1" applyFont="1" applyFill="1" applyAlignment="1">
      <alignment horizontal="center"/>
    </xf>
    <xf numFmtId="0" fontId="27" fillId="3" borderId="0" xfId="0" applyFont="1" applyFill="1" applyAlignment="1">
      <alignment horizontal="center"/>
    </xf>
    <xf numFmtId="0" fontId="27" fillId="0" borderId="4" xfId="0" applyFont="1" applyBorder="1" applyAlignment="1">
      <alignment horizontal="left" vertical="top" wrapText="1"/>
    </xf>
    <xf numFmtId="0" fontId="27" fillId="0" borderId="6" xfId="0" applyFont="1" applyBorder="1" applyAlignment="1">
      <alignment horizontal="left" vertical="top" wrapText="1"/>
    </xf>
    <xf numFmtId="0" fontId="28" fillId="14" borderId="4" xfId="0" applyFont="1" applyFill="1" applyBorder="1" applyAlignment="1">
      <alignment horizontal="center" vertical="center" wrapText="1"/>
    </xf>
    <xf numFmtId="0" fontId="28" fillId="14" borderId="4" xfId="0" applyFont="1" applyFill="1" applyBorder="1" applyAlignment="1">
      <alignment horizontal="center" vertical="center"/>
    </xf>
    <xf numFmtId="43" fontId="0" fillId="0" borderId="0" xfId="5" applyFont="1"/>
    <xf numFmtId="175" fontId="0" fillId="0" borderId="0" xfId="5" applyNumberFormat="1" applyFont="1"/>
    <xf numFmtId="0" fontId="29" fillId="0" borderId="0" xfId="0" applyFont="1"/>
    <xf numFmtId="14" fontId="28" fillId="16" borderId="0" xfId="0" applyNumberFormat="1" applyFont="1" applyFill="1"/>
    <xf numFmtId="4" fontId="27" fillId="16" borderId="0" xfId="0" applyNumberFormat="1" applyFont="1" applyFill="1"/>
    <xf numFmtId="0" fontId="27" fillId="16" borderId="0" xfId="0" applyFont="1" applyFill="1"/>
    <xf numFmtId="4" fontId="20" fillId="17" borderId="0" xfId="0" applyNumberFormat="1" applyFont="1" applyFill="1"/>
    <xf numFmtId="10" fontId="20" fillId="17" borderId="0" xfId="2" applyNumberFormat="1" applyFont="1" applyFill="1" applyAlignment="1">
      <alignment horizontal="center"/>
    </xf>
    <xf numFmtId="0" fontId="26" fillId="17" borderId="0" xfId="0" applyFont="1" applyFill="1" applyAlignment="1">
      <alignment horizontal="center" wrapText="1"/>
    </xf>
    <xf numFmtId="0" fontId="20" fillId="17" borderId="0" xfId="0" applyFont="1" applyFill="1" applyAlignment="1">
      <alignment horizontal="center" wrapText="1"/>
    </xf>
    <xf numFmtId="0" fontId="21" fillId="15" borderId="0" xfId="0" applyFont="1" applyFill="1" applyAlignment="1">
      <alignment horizontal="center" vertical="center" wrapText="1"/>
    </xf>
    <xf numFmtId="3" fontId="21" fillId="15" borderId="4" xfId="0" applyNumberFormat="1" applyFont="1" applyFill="1" applyBorder="1" applyAlignment="1">
      <alignment horizontal="center" vertical="center"/>
    </xf>
    <xf numFmtId="0" fontId="27" fillId="12" borderId="0" xfId="0" applyFont="1" applyFill="1" applyAlignment="1">
      <alignment horizontal="center" vertical="center" wrapText="1"/>
    </xf>
    <xf numFmtId="0" fontId="27" fillId="12" borderId="0" xfId="0" applyFont="1" applyFill="1" applyAlignment="1">
      <alignment horizontal="center" vertical="center"/>
    </xf>
    <xf numFmtId="171" fontId="0" fillId="2" borderId="0" xfId="2" applyNumberFormat="1" applyFont="1" applyFill="1"/>
    <xf numFmtId="0" fontId="2" fillId="3" borderId="0" xfId="0" applyFont="1" applyFill="1" applyAlignment="1">
      <alignment horizontal="left" wrapText="1"/>
    </xf>
    <xf numFmtId="0" fontId="28" fillId="3" borderId="8" xfId="0" applyFont="1" applyFill="1" applyBorder="1" applyAlignment="1">
      <alignment horizontal="center" wrapText="1"/>
    </xf>
    <xf numFmtId="0" fontId="28" fillId="3" borderId="4" xfId="0" applyFont="1" applyFill="1" applyBorder="1" applyAlignment="1">
      <alignment horizontal="center" wrapText="1"/>
    </xf>
    <xf numFmtId="164" fontId="0" fillId="3" borderId="1" xfId="1" applyFont="1" applyFill="1" applyBorder="1"/>
    <xf numFmtId="169" fontId="3" fillId="3" borderId="0" xfId="2" applyNumberFormat="1" applyFont="1" applyFill="1" applyBorder="1"/>
    <xf numFmtId="0" fontId="33" fillId="14" borderId="4" xfId="4" applyFont="1" applyFill="1" applyBorder="1" applyAlignment="1">
      <alignment horizontal="center"/>
    </xf>
    <xf numFmtId="43" fontId="0" fillId="3" borderId="0" xfId="6" applyFont="1" applyFill="1"/>
    <xf numFmtId="43" fontId="0" fillId="3" borderId="4" xfId="6" applyFont="1" applyFill="1" applyBorder="1"/>
    <xf numFmtId="0" fontId="31" fillId="3" borderId="4" xfId="4" applyFont="1" applyFill="1" applyBorder="1"/>
    <xf numFmtId="0" fontId="33" fillId="3" borderId="4" xfId="4" applyFont="1" applyFill="1" applyBorder="1"/>
    <xf numFmtId="0" fontId="33" fillId="0" borderId="4" xfId="4" applyFont="1" applyBorder="1" applyAlignment="1">
      <alignment horizontal="center" vertical="center" wrapText="1"/>
    </xf>
    <xf numFmtId="43" fontId="33" fillId="0" borderId="4" xfId="6" applyFont="1" applyBorder="1" applyAlignment="1">
      <alignment horizontal="center" vertical="center" wrapText="1"/>
    </xf>
    <xf numFmtId="43" fontId="0" fillId="8" borderId="0" xfId="6" applyFont="1" applyFill="1"/>
    <xf numFmtId="43" fontId="0" fillId="0" borderId="0" xfId="6" applyFont="1"/>
    <xf numFmtId="43" fontId="0" fillId="4" borderId="0" xfId="6" applyFont="1" applyFill="1"/>
    <xf numFmtId="164" fontId="0" fillId="3" borderId="4" xfId="1" applyFont="1" applyFill="1" applyBorder="1"/>
    <xf numFmtId="0" fontId="33" fillId="14" borderId="4" xfId="0" applyFont="1" applyFill="1" applyBorder="1" applyAlignment="1">
      <alignment horizontal="center" vertical="center"/>
    </xf>
    <xf numFmtId="0" fontId="33" fillId="14" borderId="4" xfId="0" applyFont="1" applyFill="1" applyBorder="1" applyAlignment="1">
      <alignment horizontal="center"/>
    </xf>
    <xf numFmtId="0" fontId="0" fillId="3" borderId="0" xfId="0" applyFill="1" applyAlignment="1">
      <alignment horizontal="center"/>
    </xf>
    <xf numFmtId="0" fontId="34" fillId="2" borderId="4" xfId="4" applyFont="1" applyFill="1" applyBorder="1" applyAlignment="1">
      <alignment horizontal="center"/>
    </xf>
    <xf numFmtId="176" fontId="34" fillId="2" borderId="4" xfId="1" applyNumberFormat="1" applyFont="1" applyFill="1" applyBorder="1" applyAlignment="1">
      <alignment horizontal="center" wrapText="1"/>
    </xf>
    <xf numFmtId="176" fontId="0" fillId="0" borderId="4" xfId="1" applyNumberFormat="1" applyFont="1" applyBorder="1" applyAlignment="1">
      <alignment horizontal="center"/>
    </xf>
    <xf numFmtId="0" fontId="33" fillId="3" borderId="4" xfId="0" applyFont="1" applyFill="1" applyBorder="1" applyAlignment="1">
      <alignment horizontal="center" vertical="center"/>
    </xf>
    <xf numFmtId="0" fontId="31" fillId="3" borderId="4" xfId="0" applyFont="1" applyFill="1" applyBorder="1"/>
    <xf numFmtId="43" fontId="0" fillId="3" borderId="0" xfId="0" applyNumberFormat="1" applyFill="1"/>
    <xf numFmtId="0" fontId="33" fillId="3" borderId="4" xfId="0" applyFont="1" applyFill="1" applyBorder="1" applyAlignment="1">
      <alignment horizontal="center" vertical="center" wrapText="1"/>
    </xf>
    <xf numFmtId="0" fontId="33" fillId="3" borderId="6" xfId="0" applyFont="1" applyFill="1" applyBorder="1" applyAlignment="1">
      <alignment horizontal="center" vertical="center" wrapText="1"/>
    </xf>
    <xf numFmtId="43" fontId="33" fillId="3" borderId="4" xfId="3" applyFont="1" applyFill="1" applyBorder="1" applyAlignment="1">
      <alignment horizontal="center" vertical="center" wrapText="1"/>
    </xf>
    <xf numFmtId="43" fontId="33" fillId="3" borderId="6" xfId="3" applyFont="1" applyFill="1" applyBorder="1" applyAlignment="1">
      <alignment horizontal="center" vertical="center" wrapText="1"/>
    </xf>
    <xf numFmtId="164" fontId="33" fillId="3" borderId="4" xfId="1" applyFont="1" applyFill="1" applyBorder="1" applyAlignment="1">
      <alignment horizontal="center" vertical="center" wrapText="1"/>
    </xf>
    <xf numFmtId="164" fontId="33" fillId="3" borderId="6" xfId="1" applyFont="1" applyFill="1" applyBorder="1" applyAlignment="1">
      <alignment horizontal="center" vertical="center" wrapText="1"/>
    </xf>
    <xf numFmtId="14" fontId="3" fillId="3" borderId="0" xfId="0" applyNumberFormat="1" applyFont="1" applyFill="1"/>
    <xf numFmtId="176" fontId="19" fillId="3" borderId="0" xfId="1" applyNumberFormat="1" applyFont="1" applyFill="1" applyBorder="1" applyAlignment="1">
      <alignment horizontal="center" vertical="center"/>
    </xf>
    <xf numFmtId="178" fontId="36" fillId="3" borderId="9" xfId="0" applyNumberFormat="1" applyFont="1" applyFill="1" applyBorder="1"/>
    <xf numFmtId="178" fontId="36" fillId="3" borderId="0" xfId="0" applyNumberFormat="1" applyFont="1" applyFill="1"/>
    <xf numFmtId="178" fontId="37" fillId="3" borderId="0" xfId="1" applyNumberFormat="1" applyFont="1" applyFill="1" applyBorder="1"/>
    <xf numFmtId="178" fontId="19" fillId="3" borderId="9" xfId="1" applyNumberFormat="1" applyFont="1" applyFill="1" applyBorder="1"/>
    <xf numFmtId="178" fontId="19" fillId="3" borderId="0" xfId="1" applyNumberFormat="1" applyFont="1" applyFill="1" applyBorder="1"/>
    <xf numFmtId="178" fontId="24" fillId="3" borderId="0" xfId="1" applyNumberFormat="1" applyFont="1" applyFill="1" applyBorder="1"/>
    <xf numFmtId="176" fontId="0" fillId="0" borderId="0" xfId="1" applyNumberFormat="1" applyFont="1"/>
    <xf numFmtId="176" fontId="34" fillId="2" borderId="4" xfId="1" applyNumberFormat="1" applyFont="1" applyFill="1" applyBorder="1" applyAlignment="1">
      <alignment horizontal="center"/>
    </xf>
    <xf numFmtId="0" fontId="31" fillId="3" borderId="0" xfId="0" applyFont="1" applyFill="1"/>
    <xf numFmtId="14" fontId="0" fillId="3" borderId="4" xfId="0" applyNumberFormat="1" applyFill="1" applyBorder="1"/>
    <xf numFmtId="43" fontId="0" fillId="3" borderId="4" xfId="3" applyFont="1" applyFill="1" applyBorder="1"/>
    <xf numFmtId="0" fontId="33" fillId="3" borderId="4" xfId="0" applyFont="1" applyFill="1" applyBorder="1"/>
    <xf numFmtId="43" fontId="8" fillId="3" borderId="4" xfId="0" applyNumberFormat="1" applyFont="1" applyFill="1" applyBorder="1"/>
    <xf numFmtId="0" fontId="31" fillId="3" borderId="0" xfId="0" applyFont="1" applyFill="1" applyAlignment="1">
      <alignment wrapText="1"/>
    </xf>
    <xf numFmtId="164" fontId="0" fillId="3" borderId="0" xfId="0" applyNumberFormat="1" applyFill="1"/>
    <xf numFmtId="164" fontId="3" fillId="3" borderId="0" xfId="1" applyFont="1" applyFill="1"/>
    <xf numFmtId="0" fontId="31" fillId="3" borderId="4" xfId="0" applyFont="1" applyFill="1" applyBorder="1" applyAlignment="1">
      <alignment wrapText="1"/>
    </xf>
    <xf numFmtId="0" fontId="0" fillId="3" borderId="4" xfId="0" applyFill="1" applyBorder="1" applyAlignment="1">
      <alignment horizontal="center"/>
    </xf>
    <xf numFmtId="0" fontId="0" fillId="3" borderId="4" xfId="0" applyFill="1" applyBorder="1"/>
    <xf numFmtId="164" fontId="0" fillId="3" borderId="0" xfId="1" applyFont="1" applyFill="1" applyBorder="1"/>
    <xf numFmtId="176" fontId="24" fillId="8" borderId="0" xfId="1" applyNumberFormat="1" applyFont="1" applyFill="1" applyBorder="1" applyAlignment="1">
      <alignment horizontal="center" vertical="center"/>
    </xf>
    <xf numFmtId="0" fontId="0" fillId="8" borderId="0" xfId="0" applyFill="1"/>
    <xf numFmtId="0" fontId="26" fillId="8" borderId="9" xfId="0" applyFont="1" applyFill="1" applyBorder="1"/>
    <xf numFmtId="0" fontId="26" fillId="8" borderId="0" xfId="0" applyFont="1" applyFill="1"/>
    <xf numFmtId="0" fontId="19" fillId="8" borderId="9" xfId="0" applyFont="1" applyFill="1" applyBorder="1"/>
    <xf numFmtId="164" fontId="19" fillId="8" borderId="0" xfId="1" applyFont="1" applyFill="1" applyBorder="1"/>
    <xf numFmtId="14" fontId="3" fillId="18" borderId="0" xfId="0" applyNumberFormat="1" applyFont="1" applyFill="1"/>
    <xf numFmtId="176" fontId="19" fillId="18" borderId="0" xfId="1" applyNumberFormat="1" applyFont="1" applyFill="1" applyBorder="1" applyAlignment="1">
      <alignment horizontal="center" vertical="center"/>
    </xf>
    <xf numFmtId="178" fontId="36" fillId="18" borderId="9" xfId="0" applyNumberFormat="1" applyFont="1" applyFill="1" applyBorder="1"/>
    <xf numFmtId="178" fontId="36" fillId="18" borderId="0" xfId="0" applyNumberFormat="1" applyFont="1" applyFill="1"/>
    <xf numFmtId="178" fontId="37" fillId="18" borderId="0" xfId="1" applyNumberFormat="1" applyFont="1" applyFill="1" applyBorder="1"/>
    <xf numFmtId="178" fontId="19" fillId="18" borderId="9" xfId="1" applyNumberFormat="1" applyFont="1" applyFill="1" applyBorder="1"/>
    <xf numFmtId="178" fontId="19" fillId="18" borderId="0" xfId="1" applyNumberFormat="1" applyFont="1" applyFill="1" applyBorder="1"/>
    <xf numFmtId="178" fontId="24" fillId="18" borderId="0" xfId="1" applyNumberFormat="1" applyFont="1" applyFill="1" applyBorder="1"/>
    <xf numFmtId="43" fontId="0" fillId="8" borderId="0" xfId="0" applyNumberFormat="1" applyFill="1"/>
    <xf numFmtId="164" fontId="0" fillId="8" borderId="0" xfId="1" applyFont="1" applyFill="1"/>
    <xf numFmtId="43" fontId="3" fillId="8" borderId="0" xfId="0" applyNumberFormat="1" applyFont="1" applyFill="1"/>
    <xf numFmtId="175" fontId="3" fillId="8" borderId="0" xfId="0" applyNumberFormat="1" applyFont="1" applyFill="1"/>
    <xf numFmtId="0" fontId="35" fillId="3" borderId="4" xfId="0" applyFont="1" applyFill="1" applyBorder="1" applyAlignment="1">
      <alignment horizontal="center" vertical="top" wrapText="1"/>
    </xf>
    <xf numFmtId="167" fontId="3" fillId="8" borderId="0" xfId="0" applyNumberFormat="1" applyFont="1" applyFill="1"/>
    <xf numFmtId="0" fontId="3" fillId="8" borderId="0" xfId="0" applyFont="1" applyFill="1" applyAlignment="1">
      <alignment horizontal="center"/>
    </xf>
    <xf numFmtId="0" fontId="0" fillId="4" borderId="0" xfId="0" applyFill="1"/>
    <xf numFmtId="0" fontId="31" fillId="3" borderId="4" xfId="0" applyFont="1" applyFill="1" applyBorder="1" applyAlignment="1">
      <alignment vertical="center"/>
    </xf>
    <xf numFmtId="10" fontId="0" fillId="3" borderId="4" xfId="0" applyNumberFormat="1" applyFill="1" applyBorder="1" applyAlignment="1">
      <alignment horizontal="center" vertical="center"/>
    </xf>
    <xf numFmtId="0" fontId="31" fillId="3" borderId="4" xfId="0" applyFont="1" applyFill="1" applyBorder="1" applyAlignment="1">
      <alignment vertical="center" wrapText="1"/>
    </xf>
    <xf numFmtId="174" fontId="0" fillId="3" borderId="4" xfId="1" applyNumberFormat="1" applyFont="1" applyFill="1" applyBorder="1" applyAlignment="1">
      <alignment horizontal="center" vertical="center"/>
    </xf>
    <xf numFmtId="0" fontId="31" fillId="3" borderId="4" xfId="0" applyFont="1" applyFill="1" applyBorder="1" applyAlignment="1">
      <alignment horizontal="center" vertical="center"/>
    </xf>
    <xf numFmtId="0" fontId="6" fillId="3" borderId="4" xfId="0" applyFont="1" applyFill="1" applyBorder="1" applyAlignment="1">
      <alignment horizontal="center" vertical="center"/>
    </xf>
    <xf numFmtId="14" fontId="6" fillId="3" borderId="4" xfId="0" applyNumberFormat="1" applyFont="1" applyFill="1" applyBorder="1" applyAlignment="1">
      <alignment horizontal="center" vertical="center"/>
    </xf>
    <xf numFmtId="0" fontId="31" fillId="3" borderId="4" xfId="0" applyFont="1" applyFill="1" applyBorder="1" applyAlignment="1">
      <alignment horizontal="center" vertical="center" wrapText="1"/>
    </xf>
    <xf numFmtId="0" fontId="18" fillId="19" borderId="0" xfId="0" applyFont="1" applyFill="1"/>
    <xf numFmtId="164" fontId="18" fillId="19" borderId="0" xfId="1" applyFont="1" applyFill="1"/>
    <xf numFmtId="164" fontId="32" fillId="19" borderId="0" xfId="1" applyFont="1" applyFill="1"/>
    <xf numFmtId="0" fontId="5" fillId="4" borderId="0" xfId="0" applyFont="1" applyFill="1"/>
    <xf numFmtId="14" fontId="3" fillId="5" borderId="0" xfId="0" applyNumberFormat="1" applyFont="1" applyFill="1" applyAlignment="1">
      <alignment horizontal="center"/>
    </xf>
    <xf numFmtId="14" fontId="38" fillId="5" borderId="0" xfId="0" applyNumberFormat="1" applyFont="1" applyFill="1"/>
    <xf numFmtId="0" fontId="39" fillId="5" borderId="0" xfId="0" applyFont="1" applyFill="1"/>
    <xf numFmtId="164" fontId="39" fillId="5" borderId="0" xfId="1" applyFont="1" applyFill="1"/>
    <xf numFmtId="164" fontId="38" fillId="5" borderId="0" xfId="1" applyFont="1" applyFill="1"/>
    <xf numFmtId="0" fontId="18" fillId="20" borderId="0" xfId="0" applyFont="1" applyFill="1"/>
    <xf numFmtId="164" fontId="18" fillId="20" borderId="0" xfId="1" applyFont="1" applyFill="1"/>
    <xf numFmtId="164" fontId="32" fillId="20" borderId="0" xfId="1" applyFont="1" applyFill="1"/>
    <xf numFmtId="0" fontId="18" fillId="21" borderId="0" xfId="0" applyFont="1" applyFill="1"/>
    <xf numFmtId="164" fontId="18" fillId="21" borderId="0" xfId="1" applyFont="1" applyFill="1"/>
    <xf numFmtId="164" fontId="32" fillId="21" borderId="0" xfId="1" applyFont="1" applyFill="1"/>
    <xf numFmtId="0" fontId="32" fillId="20" borderId="0" xfId="0" applyFont="1" applyFill="1"/>
    <xf numFmtId="0" fontId="32" fillId="21" borderId="0" xfId="0" applyFont="1" applyFill="1"/>
    <xf numFmtId="0" fontId="3" fillId="3" borderId="0" xfId="0" applyFont="1" applyFill="1"/>
    <xf numFmtId="0" fontId="0" fillId="3" borderId="0" xfId="1" applyNumberFormat="1" applyFont="1" applyFill="1"/>
    <xf numFmtId="14" fontId="23" fillId="3" borderId="4" xfId="0" applyNumberFormat="1" applyFont="1" applyFill="1" applyBorder="1"/>
    <xf numFmtId="164" fontId="19" fillId="3" borderId="4" xfId="1" applyFont="1" applyFill="1" applyBorder="1"/>
    <xf numFmtId="172" fontId="19" fillId="3" borderId="4" xfId="0" applyNumberFormat="1" applyFont="1" applyFill="1" applyBorder="1"/>
    <xf numFmtId="14" fontId="2" fillId="3" borderId="4" xfId="0" applyNumberFormat="1" applyFont="1" applyFill="1" applyBorder="1"/>
    <xf numFmtId="164" fontId="2" fillId="3" borderId="4" xfId="1" applyFont="1" applyFill="1" applyBorder="1"/>
    <xf numFmtId="173" fontId="19" fillId="3" borderId="4" xfId="1" applyNumberFormat="1" applyFont="1" applyFill="1" applyBorder="1"/>
    <xf numFmtId="164" fontId="3" fillId="3" borderId="0" xfId="0" applyNumberFormat="1" applyFont="1" applyFill="1"/>
    <xf numFmtId="0" fontId="0" fillId="3" borderId="0" xfId="0" applyFill="1" applyAlignment="1">
      <alignment wrapText="1"/>
    </xf>
    <xf numFmtId="0" fontId="0" fillId="3" borderId="0" xfId="0" applyFill="1" applyAlignment="1">
      <alignment horizontal="left" vertical="top" wrapText="1"/>
    </xf>
    <xf numFmtId="0" fontId="0" fillId="3" borderId="0" xfId="0" quotePrefix="1" applyFill="1" applyAlignment="1">
      <alignment horizontal="left" vertical="top" wrapText="1"/>
    </xf>
    <xf numFmtId="14" fontId="0" fillId="3" borderId="4" xfId="1" applyNumberFormat="1" applyFont="1" applyFill="1" applyBorder="1"/>
    <xf numFmtId="0" fontId="0" fillId="3" borderId="4" xfId="0" applyFill="1" applyBorder="1" applyAlignment="1">
      <alignment horizontal="left" vertical="top" wrapText="1"/>
    </xf>
    <xf numFmtId="10" fontId="0" fillId="3" borderId="4" xfId="0" applyNumberFormat="1" applyFill="1" applyBorder="1"/>
    <xf numFmtId="0" fontId="0" fillId="3" borderId="4" xfId="0" applyFill="1" applyBorder="1" applyAlignment="1">
      <alignment wrapText="1"/>
    </xf>
    <xf numFmtId="14" fontId="18" fillId="9" borderId="0" xfId="0" applyNumberFormat="1" applyFont="1" applyFill="1" applyAlignment="1">
      <alignment horizontal="center"/>
    </xf>
    <xf numFmtId="0" fontId="0" fillId="3" borderId="0" xfId="1" applyNumberFormat="1" applyFont="1" applyFill="1" applyAlignment="1">
      <alignment horizontal="center"/>
    </xf>
    <xf numFmtId="164" fontId="0" fillId="3" borderId="0" xfId="0" applyNumberFormat="1" applyFill="1" applyAlignment="1">
      <alignment horizontal="center"/>
    </xf>
    <xf numFmtId="0" fontId="1" fillId="3" borderId="0" xfId="1" applyNumberFormat="1" applyFont="1" applyFill="1" applyAlignment="1">
      <alignment horizontal="center"/>
    </xf>
    <xf numFmtId="0" fontId="3" fillId="3" borderId="0" xfId="0" applyFont="1" applyFill="1" applyAlignment="1">
      <alignment horizontal="center"/>
    </xf>
    <xf numFmtId="14" fontId="23" fillId="3" borderId="0" xfId="0" applyNumberFormat="1" applyFont="1" applyFill="1" applyAlignment="1">
      <alignment horizontal="center"/>
    </xf>
    <xf numFmtId="164" fontId="23" fillId="3" borderId="0" xfId="0" applyNumberFormat="1" applyFont="1" applyFill="1" applyAlignment="1">
      <alignment horizontal="center"/>
    </xf>
    <xf numFmtId="174" fontId="1" fillId="3" borderId="0" xfId="1" applyNumberFormat="1" applyFont="1" applyFill="1" applyAlignment="1">
      <alignment horizontal="center"/>
    </xf>
    <xf numFmtId="14" fontId="3" fillId="8" borderId="0" xfId="0" applyNumberFormat="1" applyFont="1" applyFill="1" applyAlignment="1">
      <alignment horizontal="center"/>
    </xf>
    <xf numFmtId="164" fontId="3" fillId="8" borderId="0" xfId="1" applyFont="1" applyFill="1" applyAlignment="1">
      <alignment horizontal="center"/>
    </xf>
    <xf numFmtId="164" fontId="3" fillId="8" borderId="0" xfId="0" applyNumberFormat="1" applyFont="1" applyFill="1" applyAlignment="1">
      <alignment horizontal="center"/>
    </xf>
    <xf numFmtId="174" fontId="1" fillId="8" borderId="0" xfId="1" applyNumberFormat="1" applyFont="1" applyFill="1" applyAlignment="1">
      <alignment horizontal="center"/>
    </xf>
    <xf numFmtId="0" fontId="1" fillId="8" borderId="0" xfId="1" applyNumberFormat="1" applyFont="1" applyFill="1" applyAlignment="1">
      <alignment horizontal="center"/>
    </xf>
    <xf numFmtId="14" fontId="2" fillId="3" borderId="0" xfId="0" applyNumberFormat="1" applyFont="1" applyFill="1" applyAlignment="1">
      <alignment horizontal="center"/>
    </xf>
    <xf numFmtId="164" fontId="2" fillId="3" borderId="0" xfId="0" applyNumberFormat="1" applyFont="1" applyFill="1" applyAlignment="1">
      <alignment horizontal="center"/>
    </xf>
    <xf numFmtId="173" fontId="23" fillId="3" borderId="0" xfId="0" applyNumberFormat="1" applyFont="1" applyFill="1" applyAlignment="1">
      <alignment horizontal="center"/>
    </xf>
    <xf numFmtId="14" fontId="3" fillId="4" borderId="0" xfId="0" applyNumberFormat="1" applyFont="1" applyFill="1" applyAlignment="1">
      <alignment horizontal="center"/>
    </xf>
    <xf numFmtId="164" fontId="3" fillId="4" borderId="0" xfId="1" applyFont="1" applyFill="1" applyAlignment="1">
      <alignment horizontal="center"/>
    </xf>
    <xf numFmtId="0" fontId="3" fillId="4" borderId="0" xfId="0" applyFont="1" applyFill="1" applyAlignment="1">
      <alignment horizontal="center"/>
    </xf>
    <xf numFmtId="43" fontId="3" fillId="4" borderId="0" xfId="0" applyNumberFormat="1" applyFont="1" applyFill="1" applyAlignment="1">
      <alignment horizontal="center"/>
    </xf>
    <xf numFmtId="43" fontId="0" fillId="3" borderId="0" xfId="0" applyNumberFormat="1" applyFill="1" applyAlignment="1">
      <alignment horizontal="center"/>
    </xf>
    <xf numFmtId="43" fontId="3" fillId="3" borderId="0" xfId="0" applyNumberFormat="1" applyFont="1" applyFill="1" applyAlignment="1">
      <alignment horizontal="center"/>
    </xf>
    <xf numFmtId="14" fontId="3" fillId="4" borderId="3" xfId="0" applyNumberFormat="1" applyFont="1" applyFill="1" applyBorder="1" applyAlignment="1">
      <alignment horizontal="center"/>
    </xf>
    <xf numFmtId="164" fontId="0" fillId="3" borderId="3" xfId="1" applyFont="1" applyFill="1" applyBorder="1" applyAlignment="1">
      <alignment horizontal="center"/>
    </xf>
    <xf numFmtId="0" fontId="0" fillId="3" borderId="3" xfId="0" applyFill="1" applyBorder="1" applyAlignment="1">
      <alignment horizontal="center"/>
    </xf>
    <xf numFmtId="43" fontId="0" fillId="3" borderId="3" xfId="0" applyNumberFormat="1" applyFill="1" applyBorder="1" applyAlignment="1">
      <alignment horizontal="center"/>
    </xf>
    <xf numFmtId="164" fontId="0" fillId="3" borderId="3" xfId="0" applyNumberFormat="1" applyFill="1" applyBorder="1" applyAlignment="1">
      <alignment horizontal="center"/>
    </xf>
    <xf numFmtId="174" fontId="1" fillId="3" borderId="3" xfId="1" applyNumberFormat="1" applyFont="1" applyFill="1" applyBorder="1" applyAlignment="1">
      <alignment horizontal="center"/>
    </xf>
    <xf numFmtId="0" fontId="1" fillId="3" borderId="3" xfId="1" applyNumberFormat="1" applyFont="1" applyFill="1" applyBorder="1" applyAlignment="1">
      <alignment horizontal="center"/>
    </xf>
    <xf numFmtId="43" fontId="3" fillId="3" borderId="3" xfId="0" applyNumberFormat="1" applyFont="1" applyFill="1" applyBorder="1" applyAlignment="1">
      <alignment horizontal="center"/>
    </xf>
    <xf numFmtId="0" fontId="1" fillId="3" borderId="0" xfId="1" applyNumberFormat="1" applyFont="1" applyFill="1" applyAlignment="1">
      <alignment horizontal="right" vertical="center"/>
    </xf>
    <xf numFmtId="174" fontId="1" fillId="3" borderId="0" xfId="1" applyNumberFormat="1" applyFont="1" applyFill="1" applyAlignment="1">
      <alignment horizontal="right" vertical="center"/>
    </xf>
    <xf numFmtId="174" fontId="1" fillId="8" borderId="0" xfId="1" applyNumberFormat="1" applyFont="1" applyFill="1" applyAlignment="1">
      <alignment horizontal="right" vertical="center"/>
    </xf>
    <xf numFmtId="174" fontId="1" fillId="3" borderId="3" xfId="1" applyNumberFormat="1" applyFont="1" applyFill="1" applyBorder="1" applyAlignment="1">
      <alignment horizontal="right" vertical="center"/>
    </xf>
    <xf numFmtId="0" fontId="0" fillId="3" borderId="0" xfId="0" applyFill="1" applyAlignment="1">
      <alignment vertical="center"/>
    </xf>
    <xf numFmtId="174" fontId="0" fillId="3" borderId="0" xfId="1" applyNumberFormat="1" applyFont="1" applyFill="1"/>
    <xf numFmtId="0" fontId="3" fillId="3" borderId="4" xfId="0" applyFont="1" applyFill="1" applyBorder="1" applyAlignment="1">
      <alignment horizontal="center" vertical="center" wrapText="1"/>
    </xf>
    <xf numFmtId="0" fontId="18" fillId="9" borderId="4" xfId="0" applyFont="1" applyFill="1" applyBorder="1"/>
    <xf numFmtId="0" fontId="0" fillId="4" borderId="4" xfId="0" applyFill="1" applyBorder="1" applyAlignment="1">
      <alignment horizontal="left" vertical="top" wrapText="1"/>
    </xf>
    <xf numFmtId="14" fontId="0" fillId="4" borderId="4" xfId="0" applyNumberFormat="1" applyFill="1" applyBorder="1"/>
    <xf numFmtId="0" fontId="0" fillId="8" borderId="4" xfId="0" applyFill="1" applyBorder="1"/>
    <xf numFmtId="10" fontId="0" fillId="8" borderId="4" xfId="0" applyNumberFormat="1" applyFill="1" applyBorder="1"/>
    <xf numFmtId="14" fontId="0" fillId="22" borderId="4" xfId="0" applyNumberFormat="1" applyFill="1" applyBorder="1"/>
    <xf numFmtId="14" fontId="3" fillId="11" borderId="0" xfId="0" applyNumberFormat="1" applyFont="1" applyFill="1" applyAlignment="1">
      <alignment horizontal="center"/>
    </xf>
    <xf numFmtId="164" fontId="0" fillId="11" borderId="0" xfId="1" applyFont="1" applyFill="1" applyAlignment="1">
      <alignment horizontal="center"/>
    </xf>
    <xf numFmtId="0" fontId="0" fillId="11" borderId="0" xfId="0" applyFill="1" applyAlignment="1">
      <alignment horizontal="center"/>
    </xf>
    <xf numFmtId="164" fontId="0" fillId="11" borderId="0" xfId="0" applyNumberFormat="1" applyFill="1" applyAlignment="1">
      <alignment horizontal="center"/>
    </xf>
    <xf numFmtId="174" fontId="1" fillId="11" borderId="0" xfId="1" applyNumberFormat="1" applyFont="1" applyFill="1" applyAlignment="1">
      <alignment horizontal="right" vertical="center"/>
    </xf>
    <xf numFmtId="0" fontId="1" fillId="11" borderId="0" xfId="1" applyNumberFormat="1" applyFont="1" applyFill="1" applyAlignment="1">
      <alignment horizontal="center"/>
    </xf>
    <xf numFmtId="43" fontId="3" fillId="11" borderId="0" xfId="0" applyNumberFormat="1" applyFont="1" applyFill="1" applyAlignment="1">
      <alignment horizontal="center"/>
    </xf>
    <xf numFmtId="14" fontId="3" fillId="22" borderId="0" xfId="0" applyNumberFormat="1" applyFont="1" applyFill="1" applyAlignment="1">
      <alignment horizontal="center"/>
    </xf>
    <xf numFmtId="164" fontId="0" fillId="22" borderId="0" xfId="1" applyFont="1" applyFill="1" applyAlignment="1">
      <alignment horizontal="center"/>
    </xf>
    <xf numFmtId="0" fontId="0" fillId="22" borderId="0" xfId="0" applyFill="1" applyAlignment="1">
      <alignment horizontal="center"/>
    </xf>
    <xf numFmtId="43" fontId="0" fillId="22" borderId="0" xfId="0" applyNumberFormat="1" applyFill="1" applyAlignment="1">
      <alignment horizontal="center"/>
    </xf>
    <xf numFmtId="164" fontId="0" fillId="22" borderId="0" xfId="0" applyNumberFormat="1" applyFill="1" applyAlignment="1">
      <alignment horizontal="center"/>
    </xf>
    <xf numFmtId="174" fontId="1" fillId="22" borderId="0" xfId="1" applyNumberFormat="1" applyFont="1" applyFill="1" applyAlignment="1">
      <alignment horizontal="right" vertical="center"/>
    </xf>
    <xf numFmtId="0" fontId="1" fillId="22" borderId="0" xfId="1" applyNumberFormat="1" applyFont="1" applyFill="1" applyAlignment="1">
      <alignment horizontal="center"/>
    </xf>
    <xf numFmtId="43" fontId="3" fillId="22" borderId="0" xfId="0" applyNumberFormat="1" applyFont="1" applyFill="1" applyAlignment="1">
      <alignment horizontal="center"/>
    </xf>
    <xf numFmtId="43" fontId="0" fillId="3" borderId="0" xfId="1" applyNumberFormat="1" applyFont="1" applyFill="1" applyAlignment="1">
      <alignment horizontal="center"/>
    </xf>
    <xf numFmtId="14" fontId="23" fillId="0" borderId="0" xfId="0" applyNumberFormat="1" applyFont="1" applyAlignment="1">
      <alignment horizontal="center"/>
    </xf>
    <xf numFmtId="174" fontId="1" fillId="22" borderId="0" xfId="1" applyNumberFormat="1" applyFont="1" applyFill="1" applyAlignment="1">
      <alignment horizontal="center"/>
    </xf>
    <xf numFmtId="14" fontId="3" fillId="23" borderId="0" xfId="0" applyNumberFormat="1" applyFont="1" applyFill="1" applyAlignment="1">
      <alignment horizontal="center"/>
    </xf>
    <xf numFmtId="164" fontId="0" fillId="23" borderId="0" xfId="1" applyFont="1" applyFill="1" applyAlignment="1">
      <alignment horizontal="center"/>
    </xf>
    <xf numFmtId="0" fontId="0" fillId="23" borderId="0" xfId="0" applyFill="1" applyAlignment="1">
      <alignment horizontal="center"/>
    </xf>
    <xf numFmtId="43" fontId="0" fillId="23" borderId="0" xfId="0" applyNumberFormat="1" applyFill="1" applyAlignment="1">
      <alignment horizontal="center"/>
    </xf>
    <xf numFmtId="164" fontId="0" fillId="23" borderId="0" xfId="0" applyNumberFormat="1" applyFill="1" applyAlignment="1">
      <alignment horizontal="center"/>
    </xf>
    <xf numFmtId="174" fontId="1" fillId="23" borderId="0" xfId="1" applyNumberFormat="1" applyFont="1" applyFill="1" applyAlignment="1">
      <alignment horizontal="center"/>
    </xf>
    <xf numFmtId="0" fontId="1" fillId="23" borderId="0" xfId="1" applyNumberFormat="1" applyFont="1" applyFill="1" applyAlignment="1">
      <alignment horizontal="center"/>
    </xf>
    <xf numFmtId="43" fontId="3" fillId="23" borderId="0" xfId="0" applyNumberFormat="1" applyFont="1" applyFill="1" applyAlignment="1">
      <alignment horizontal="center"/>
    </xf>
    <xf numFmtId="173" fontId="4" fillId="3" borderId="0" xfId="0" applyNumberFormat="1" applyFont="1" applyFill="1" applyAlignment="1">
      <alignment horizontal="center"/>
    </xf>
    <xf numFmtId="0" fontId="13" fillId="3" borderId="4" xfId="0" applyFont="1" applyFill="1" applyBorder="1"/>
    <xf numFmtId="164" fontId="13" fillId="3" borderId="4" xfId="1" applyFont="1" applyFill="1" applyBorder="1"/>
    <xf numFmtId="0" fontId="13" fillId="3" borderId="0" xfId="1" applyNumberFormat="1" applyFont="1" applyFill="1"/>
    <xf numFmtId="14" fontId="40" fillId="3" borderId="4" xfId="0" applyNumberFormat="1" applyFont="1" applyFill="1" applyBorder="1"/>
    <xf numFmtId="164" fontId="41" fillId="3" borderId="4" xfId="1" applyFont="1" applyFill="1" applyBorder="1"/>
    <xf numFmtId="172" fontId="41" fillId="3" borderId="4" xfId="0" applyNumberFormat="1" applyFont="1" applyFill="1" applyBorder="1"/>
    <xf numFmtId="14" fontId="13" fillId="3" borderId="4" xfId="0" applyNumberFormat="1" applyFont="1" applyFill="1" applyBorder="1"/>
    <xf numFmtId="43" fontId="13" fillId="3" borderId="0" xfId="0" applyNumberFormat="1" applyFont="1" applyFill="1"/>
    <xf numFmtId="14" fontId="13" fillId="10" borderId="4" xfId="0" applyNumberFormat="1" applyFont="1" applyFill="1" applyBorder="1"/>
    <xf numFmtId="14" fontId="42" fillId="3" borderId="4" xfId="0" applyNumberFormat="1" applyFont="1" applyFill="1" applyBorder="1"/>
    <xf numFmtId="164" fontId="42" fillId="3" borderId="4" xfId="1" applyFont="1" applyFill="1" applyBorder="1"/>
    <xf numFmtId="0" fontId="13" fillId="0" borderId="0" xfId="0" applyFont="1"/>
    <xf numFmtId="14" fontId="13" fillId="11" borderId="4" xfId="0" applyNumberFormat="1" applyFont="1" applyFill="1" applyBorder="1"/>
    <xf numFmtId="0" fontId="13" fillId="3" borderId="4" xfId="0" applyFont="1" applyFill="1" applyBorder="1" applyAlignment="1">
      <alignment horizontal="center"/>
    </xf>
    <xf numFmtId="173" fontId="41" fillId="3" borderId="4" xfId="1" applyNumberFormat="1" applyFont="1" applyFill="1" applyBorder="1"/>
    <xf numFmtId="0" fontId="43" fillId="9" borderId="4" xfId="0" applyFont="1" applyFill="1" applyBorder="1"/>
    <xf numFmtId="14" fontId="13" fillId="3" borderId="4" xfId="1" applyNumberFormat="1" applyFont="1" applyFill="1" applyBorder="1"/>
    <xf numFmtId="14" fontId="44" fillId="3" borderId="4" xfId="0" applyNumberFormat="1" applyFont="1" applyFill="1" applyBorder="1"/>
    <xf numFmtId="173" fontId="45" fillId="3" borderId="4" xfId="1" applyNumberFormat="1" applyFont="1" applyFill="1" applyBorder="1"/>
    <xf numFmtId="0" fontId="13" fillId="4" borderId="4" xfId="0" applyFont="1" applyFill="1" applyBorder="1" applyAlignment="1">
      <alignment horizontal="left" vertical="top" wrapText="1"/>
    </xf>
    <xf numFmtId="14" fontId="13" fillId="4" borderId="4" xfId="0" applyNumberFormat="1" applyFont="1" applyFill="1" applyBorder="1"/>
    <xf numFmtId="0" fontId="13" fillId="3" borderId="0" xfId="0" applyFont="1" applyFill="1" applyAlignment="1">
      <alignment wrapText="1"/>
    </xf>
    <xf numFmtId="0" fontId="13" fillId="8" borderId="4" xfId="0" applyFont="1" applyFill="1" applyBorder="1"/>
    <xf numFmtId="10" fontId="13" fillId="8" borderId="4" xfId="0" applyNumberFormat="1" applyFont="1" applyFill="1" applyBorder="1"/>
    <xf numFmtId="164" fontId="13" fillId="3" borderId="0" xfId="0" applyNumberFormat="1" applyFont="1" applyFill="1"/>
    <xf numFmtId="0" fontId="13" fillId="3" borderId="4" xfId="0" applyFont="1" applyFill="1" applyBorder="1" applyAlignment="1">
      <alignment wrapText="1"/>
    </xf>
    <xf numFmtId="10" fontId="13" fillId="3" borderId="4" xfId="0" applyNumberFormat="1" applyFont="1" applyFill="1" applyBorder="1"/>
    <xf numFmtId="0" fontId="13" fillId="3" borderId="0" xfId="0" quotePrefix="1" applyFont="1" applyFill="1" applyAlignment="1">
      <alignment horizontal="left" vertical="top" wrapText="1"/>
    </xf>
    <xf numFmtId="0" fontId="42" fillId="3" borderId="0" xfId="0" applyFont="1" applyFill="1"/>
    <xf numFmtId="0" fontId="13" fillId="3" borderId="4" xfId="0" applyFont="1" applyFill="1" applyBorder="1" applyAlignment="1">
      <alignment horizontal="left" vertical="top" wrapText="1"/>
    </xf>
    <xf numFmtId="0" fontId="16" fillId="2" borderId="4" xfId="0" applyFont="1" applyFill="1" applyBorder="1" applyAlignment="1">
      <alignment horizontal="center"/>
    </xf>
    <xf numFmtId="0" fontId="28" fillId="3" borderId="0" xfId="0" applyFont="1" applyFill="1"/>
    <xf numFmtId="4" fontId="28" fillId="3" borderId="0" xfId="0" applyNumberFormat="1" applyFont="1" applyFill="1"/>
    <xf numFmtId="0" fontId="3" fillId="0" borderId="4" xfId="0" applyFont="1" applyBorder="1"/>
    <xf numFmtId="44" fontId="0" fillId="25" borderId="4" xfId="5" applyNumberFormat="1" applyFont="1" applyFill="1" applyBorder="1"/>
    <xf numFmtId="14" fontId="0" fillId="25" borderId="4" xfId="5" applyNumberFormat="1" applyFont="1" applyFill="1" applyBorder="1"/>
    <xf numFmtId="168" fontId="0" fillId="0" borderId="0" xfId="5" applyNumberFormat="1" applyFont="1"/>
    <xf numFmtId="14" fontId="0" fillId="4" borderId="4" xfId="5" applyNumberFormat="1" applyFont="1" applyFill="1" applyBorder="1"/>
    <xf numFmtId="43" fontId="0" fillId="0" borderId="0" xfId="5" applyFont="1" applyAlignment="1">
      <alignment horizontal="center" vertical="center"/>
    </xf>
    <xf numFmtId="44" fontId="0" fillId="4" borderId="3" xfId="5" applyNumberFormat="1" applyFont="1" applyFill="1" applyBorder="1" applyAlignment="1">
      <alignment horizontal="center" vertical="center"/>
    </xf>
    <xf numFmtId="168" fontId="0" fillId="4" borderId="3" xfId="5" applyNumberFormat="1" applyFont="1" applyFill="1" applyBorder="1" applyAlignment="1">
      <alignment horizontal="center" vertical="center"/>
    </xf>
    <xf numFmtId="168" fontId="0" fillId="4" borderId="3" xfId="5" applyNumberFormat="1" applyFont="1" applyFill="1" applyBorder="1" applyAlignment="1">
      <alignment horizontal="center"/>
    </xf>
    <xf numFmtId="44" fontId="0" fillId="0" borderId="0" xfId="5" applyNumberFormat="1" applyFont="1" applyBorder="1" applyAlignment="1">
      <alignment horizontal="center" vertical="center"/>
    </xf>
    <xf numFmtId="168" fontId="0" fillId="0" borderId="4" xfId="5" applyNumberFormat="1" applyFont="1" applyBorder="1"/>
    <xf numFmtId="182" fontId="0" fillId="0" borderId="0" xfId="2" applyNumberFormat="1" applyFont="1"/>
    <xf numFmtId="0" fontId="2" fillId="26" borderId="0" xfId="0" applyFont="1" applyFill="1"/>
    <xf numFmtId="168" fontId="0" fillId="3" borderId="0" xfId="5" applyNumberFormat="1" applyFont="1" applyFill="1"/>
    <xf numFmtId="14" fontId="25" fillId="6" borderId="4" xfId="0" applyNumberFormat="1" applyFont="1" applyFill="1" applyBorder="1" applyAlignment="1">
      <alignment horizontal="center"/>
    </xf>
    <xf numFmtId="0" fontId="25" fillId="6" borderId="4" xfId="0" applyFont="1" applyFill="1" applyBorder="1" applyAlignment="1">
      <alignment horizontal="center"/>
    </xf>
    <xf numFmtId="179" fontId="46" fillId="24" borderId="4" xfId="0" applyNumberFormat="1" applyFont="1" applyFill="1" applyBorder="1" applyAlignment="1">
      <alignment horizontal="center" vertical="center" wrapText="1"/>
    </xf>
    <xf numFmtId="0" fontId="46" fillId="24" borderId="4" xfId="0" applyFont="1" applyFill="1" applyBorder="1" applyAlignment="1">
      <alignment horizontal="center" vertical="center" wrapText="1"/>
    </xf>
    <xf numFmtId="164" fontId="0" fillId="0" borderId="4" xfId="1" applyFont="1" applyBorder="1" applyAlignment="1">
      <alignment horizontal="center"/>
    </xf>
    <xf numFmtId="14" fontId="26" fillId="4" borderId="5" xfId="0" applyNumberFormat="1" applyFont="1" applyFill="1" applyBorder="1" applyAlignment="1">
      <alignment horizontal="center"/>
    </xf>
    <xf numFmtId="0" fontId="26" fillId="4" borderId="5" xfId="0" applyFont="1" applyFill="1" applyBorder="1" applyAlignment="1">
      <alignment horizontal="center"/>
    </xf>
    <xf numFmtId="0" fontId="20" fillId="4" borderId="5" xfId="0" applyFont="1" applyFill="1" applyBorder="1" applyAlignment="1">
      <alignment horizontal="center"/>
    </xf>
    <xf numFmtId="164" fontId="20" fillId="4" borderId="5" xfId="1" applyFont="1" applyFill="1" applyBorder="1" applyAlignment="1">
      <alignment horizontal="center"/>
    </xf>
    <xf numFmtId="14" fontId="26" fillId="0" borderId="4" xfId="0" applyNumberFormat="1" applyFont="1" applyBorder="1" applyAlignment="1">
      <alignment horizontal="center"/>
    </xf>
    <xf numFmtId="14" fontId="26" fillId="4" borderId="4" xfId="0" applyNumberFormat="1" applyFont="1" applyFill="1" applyBorder="1" applyAlignment="1">
      <alignment horizontal="center"/>
    </xf>
    <xf numFmtId="14" fontId="25" fillId="6" borderId="1" xfId="0" applyNumberFormat="1" applyFont="1" applyFill="1" applyBorder="1" applyAlignment="1">
      <alignment horizontal="center"/>
    </xf>
    <xf numFmtId="0" fontId="25" fillId="6" borderId="1" xfId="0" applyFont="1" applyFill="1" applyBorder="1" applyAlignment="1">
      <alignment horizontal="center"/>
    </xf>
    <xf numFmtId="164" fontId="15" fillId="3" borderId="4" xfId="1" applyFont="1" applyFill="1" applyBorder="1"/>
    <xf numFmtId="164" fontId="8" fillId="3" borderId="4" xfId="1" applyFont="1" applyFill="1" applyBorder="1" applyAlignment="1">
      <alignment horizontal="center"/>
    </xf>
    <xf numFmtId="42" fontId="0" fillId="3" borderId="0" xfId="1" applyNumberFormat="1" applyFont="1" applyFill="1" applyBorder="1" applyAlignment="1">
      <alignment horizontal="center" vertical="center"/>
    </xf>
    <xf numFmtId="0" fontId="3" fillId="8"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3" borderId="1" xfId="0" applyFont="1" applyFill="1" applyBorder="1" applyAlignment="1">
      <alignment horizontal="center" vertical="center"/>
    </xf>
    <xf numFmtId="14" fontId="24" fillId="6" borderId="0" xfId="0" applyNumberFormat="1" applyFont="1" applyFill="1"/>
    <xf numFmtId="43" fontId="24" fillId="6" borderId="0" xfId="0" applyNumberFormat="1" applyFont="1" applyFill="1" applyAlignment="1">
      <alignment horizontal="center" vertical="center"/>
    </xf>
    <xf numFmtId="0" fontId="24" fillId="6" borderId="0" xfId="0" applyFont="1" applyFill="1" applyAlignment="1">
      <alignment horizontal="center" vertical="center"/>
    </xf>
    <xf numFmtId="0" fontId="18" fillId="0" borderId="0" xfId="0" applyFont="1"/>
    <xf numFmtId="0" fontId="3" fillId="3" borderId="0" xfId="0" applyFont="1" applyFill="1" applyAlignment="1">
      <alignment horizontal="center" vertical="center" wrapText="1"/>
    </xf>
    <xf numFmtId="0" fontId="3" fillId="3" borderId="0" xfId="0" applyFont="1" applyFill="1" applyAlignment="1">
      <alignment horizontal="center" vertical="center"/>
    </xf>
    <xf numFmtId="4" fontId="28" fillId="14" borderId="0" xfId="0" applyNumberFormat="1" applyFont="1" applyFill="1"/>
    <xf numFmtId="0" fontId="27" fillId="2" borderId="0" xfId="0" applyFont="1" applyFill="1" applyAlignment="1">
      <alignment horizontal="center" vertical="center"/>
    </xf>
    <xf numFmtId="0" fontId="26" fillId="18" borderId="0" xfId="0" applyFont="1" applyFill="1" applyAlignment="1">
      <alignment horizontal="center"/>
    </xf>
    <xf numFmtId="0" fontId="26" fillId="18" borderId="0" xfId="0" applyFont="1" applyFill="1"/>
    <xf numFmtId="0" fontId="26" fillId="3" borderId="0" xfId="0" applyFont="1" applyFill="1" applyAlignment="1">
      <alignment horizontal="center"/>
    </xf>
    <xf numFmtId="0" fontId="26" fillId="3" borderId="0" xfId="0" applyFont="1" applyFill="1"/>
    <xf numFmtId="0" fontId="47" fillId="14" borderId="4" xfId="0" applyFont="1" applyFill="1" applyBorder="1" applyAlignment="1">
      <alignment horizontal="center"/>
    </xf>
    <xf numFmtId="167" fontId="26" fillId="3" borderId="4" xfId="3" applyNumberFormat="1" applyFont="1" applyFill="1" applyBorder="1"/>
    <xf numFmtId="0" fontId="47" fillId="3" borderId="4" xfId="0" applyFont="1" applyFill="1" applyBorder="1" applyAlignment="1">
      <alignment horizontal="center" vertical="center" wrapText="1"/>
    </xf>
    <xf numFmtId="177" fontId="26" fillId="8" borderId="0" xfId="0" applyNumberFormat="1" applyFont="1" applyFill="1"/>
    <xf numFmtId="177" fontId="26" fillId="18" borderId="0" xfId="0" applyNumberFormat="1" applyFont="1" applyFill="1"/>
    <xf numFmtId="177" fontId="26" fillId="3" borderId="0" xfId="0" applyNumberFormat="1" applyFont="1" applyFill="1"/>
    <xf numFmtId="177" fontId="26" fillId="0" borderId="0" xfId="0" applyNumberFormat="1" applyFont="1"/>
    <xf numFmtId="0" fontId="26" fillId="0" borderId="0" xfId="0" applyFont="1"/>
    <xf numFmtId="167" fontId="24" fillId="8" borderId="0" xfId="0" applyNumberFormat="1" applyFont="1" applyFill="1"/>
    <xf numFmtId="164" fontId="1" fillId="3" borderId="0" xfId="1" applyFont="1" applyFill="1" applyAlignment="1">
      <alignment horizontal="center"/>
    </xf>
    <xf numFmtId="0" fontId="16" fillId="3" borderId="8" xfId="0" applyFont="1" applyFill="1" applyBorder="1"/>
    <xf numFmtId="164" fontId="16" fillId="3" borderId="8" xfId="0" applyNumberFormat="1" applyFont="1" applyFill="1" applyBorder="1"/>
    <xf numFmtId="164" fontId="0" fillId="3" borderId="0" xfId="0" applyNumberFormat="1" applyFont="1" applyFill="1" applyAlignment="1">
      <alignment horizontal="center"/>
    </xf>
    <xf numFmtId="164" fontId="1" fillId="8" borderId="0" xfId="1" applyFont="1" applyFill="1" applyAlignment="1">
      <alignment horizontal="center"/>
    </xf>
    <xf numFmtId="164" fontId="0" fillId="8" borderId="0" xfId="0" applyNumberFormat="1" applyFont="1" applyFill="1" applyAlignment="1">
      <alignment horizontal="center"/>
    </xf>
    <xf numFmtId="164" fontId="1" fillId="4" borderId="0" xfId="1" applyFont="1" applyFill="1" applyAlignment="1">
      <alignment horizontal="center"/>
    </xf>
    <xf numFmtId="164" fontId="0" fillId="4" borderId="0" xfId="0" applyNumberFormat="1" applyFont="1" applyFill="1" applyAlignment="1">
      <alignment horizontal="center"/>
    </xf>
    <xf numFmtId="174" fontId="1" fillId="4" borderId="0" xfId="1" applyNumberFormat="1" applyFont="1" applyFill="1" applyAlignment="1">
      <alignment horizontal="right" vertical="center"/>
    </xf>
    <xf numFmtId="0" fontId="1" fillId="4" borderId="0" xfId="1" applyNumberFormat="1" applyFont="1" applyFill="1" applyAlignment="1">
      <alignment horizontal="center"/>
    </xf>
    <xf numFmtId="43" fontId="1" fillId="3" borderId="0" xfId="1" applyNumberFormat="1" applyFont="1" applyFill="1" applyAlignment="1">
      <alignment horizontal="center"/>
    </xf>
    <xf numFmtId="0" fontId="0" fillId="3" borderId="0" xfId="0" applyFont="1" applyFill="1" applyAlignment="1">
      <alignment horizontal="center"/>
    </xf>
    <xf numFmtId="0" fontId="0" fillId="8" borderId="0" xfId="0" applyFont="1" applyFill="1" applyAlignment="1">
      <alignment horizontal="center"/>
    </xf>
    <xf numFmtId="0" fontId="0" fillId="4" borderId="0" xfId="0" applyFont="1" applyFill="1" applyAlignment="1">
      <alignment horizontal="center"/>
    </xf>
    <xf numFmtId="43" fontId="0" fillId="4" borderId="0" xfId="0" applyNumberFormat="1" applyFont="1" applyFill="1" applyAlignment="1">
      <alignment horizontal="center"/>
    </xf>
    <xf numFmtId="174" fontId="1" fillId="4" borderId="0" xfId="1" applyNumberFormat="1" applyFont="1" applyFill="1" applyAlignment="1">
      <alignment horizontal="center"/>
    </xf>
    <xf numFmtId="164" fontId="1" fillId="22" borderId="0" xfId="1" applyFont="1" applyFill="1" applyAlignment="1">
      <alignment horizontal="center"/>
    </xf>
    <xf numFmtId="164" fontId="2" fillId="22" borderId="0" xfId="1" applyFont="1" applyFill="1" applyAlignment="1">
      <alignment horizontal="center"/>
    </xf>
    <xf numFmtId="164" fontId="48" fillId="3" borderId="0" xfId="1" applyFont="1" applyFill="1" applyAlignment="1">
      <alignment horizontal="center"/>
    </xf>
    <xf numFmtId="164" fontId="1" fillId="23" borderId="0" xfId="1" applyFont="1" applyFill="1" applyAlignment="1">
      <alignment horizontal="center"/>
    </xf>
    <xf numFmtId="164" fontId="2" fillId="23" borderId="0" xfId="1" applyFont="1" applyFill="1" applyAlignment="1">
      <alignment horizontal="center"/>
    </xf>
    <xf numFmtId="164" fontId="23" fillId="3" borderId="0" xfId="1" applyFont="1" applyFill="1" applyAlignment="1">
      <alignment horizontal="center"/>
    </xf>
    <xf numFmtId="164" fontId="49" fillId="3" borderId="0" xfId="1" applyFont="1" applyFill="1" applyAlignment="1">
      <alignment horizontal="center"/>
    </xf>
    <xf numFmtId="164" fontId="49" fillId="3" borderId="3" xfId="1" applyFont="1" applyFill="1" applyBorder="1" applyAlignment="1">
      <alignment horizontal="center"/>
    </xf>
    <xf numFmtId="164" fontId="23" fillId="3" borderId="3" xfId="1" applyFont="1" applyFill="1" applyBorder="1" applyAlignment="1">
      <alignment horizontal="center"/>
    </xf>
    <xf numFmtId="14" fontId="0" fillId="22" borderId="0" xfId="0" applyNumberFormat="1" applyFont="1" applyFill="1" applyAlignment="1">
      <alignment horizontal="center"/>
    </xf>
    <xf numFmtId="43" fontId="0" fillId="3" borderId="1" xfId="6" applyFont="1" applyFill="1" applyBorder="1"/>
    <xf numFmtId="0" fontId="50" fillId="3" borderId="0" xfId="0" applyFont="1" applyFill="1" applyAlignment="1">
      <alignment horizontal="center" vertical="center"/>
    </xf>
    <xf numFmtId="14" fontId="0" fillId="3" borderId="0" xfId="0" applyNumberFormat="1" applyFill="1" applyAlignment="1">
      <alignment horizontal="right"/>
    </xf>
    <xf numFmtId="0" fontId="0" fillId="3" borderId="0" xfId="0" applyFill="1" applyAlignment="1">
      <alignment horizontal="right" vertical="center"/>
    </xf>
    <xf numFmtId="14" fontId="51" fillId="3" borderId="0" xfId="8" applyNumberFormat="1" applyFill="1"/>
    <xf numFmtId="0" fontId="0" fillId="0" borderId="0" xfId="0" applyFont="1"/>
    <xf numFmtId="0" fontId="0" fillId="0" borderId="0" xfId="0" applyFont="1" applyAlignment="1">
      <alignment horizontal="center" vertical="center"/>
    </xf>
    <xf numFmtId="0" fontId="0" fillId="3" borderId="0" xfId="0" applyFont="1" applyFill="1"/>
    <xf numFmtId="14" fontId="0" fillId="3" borderId="0" xfId="0" applyNumberFormat="1" applyFont="1" applyFill="1"/>
    <xf numFmtId="43" fontId="0" fillId="3" borderId="0" xfId="0" applyNumberFormat="1" applyFont="1" applyFill="1" applyAlignment="1">
      <alignment horizontal="center" vertical="center"/>
    </xf>
    <xf numFmtId="0" fontId="0" fillId="3" borderId="0" xfId="0" applyFont="1" applyFill="1" applyAlignment="1">
      <alignment horizontal="center" vertical="center"/>
    </xf>
    <xf numFmtId="0" fontId="0" fillId="3" borderId="1" xfId="0" applyFont="1" applyFill="1" applyBorder="1"/>
    <xf numFmtId="14" fontId="0" fillId="3" borderId="1" xfId="0" applyNumberFormat="1" applyFont="1" applyFill="1" applyBorder="1"/>
    <xf numFmtId="0" fontId="0" fillId="3" borderId="1" xfId="0" applyFont="1" applyFill="1" applyBorder="1" applyAlignment="1">
      <alignment horizontal="center" vertical="center"/>
    </xf>
    <xf numFmtId="43" fontId="0" fillId="3" borderId="1" xfId="0" applyNumberFormat="1" applyFont="1" applyFill="1" applyBorder="1" applyAlignment="1">
      <alignment horizontal="center" vertical="center"/>
    </xf>
    <xf numFmtId="164" fontId="52" fillId="3" borderId="0" xfId="1" applyFont="1" applyFill="1" applyBorder="1"/>
    <xf numFmtId="164" fontId="52" fillId="3" borderId="0" xfId="1" applyFont="1" applyFill="1" applyBorder="1" applyAlignment="1">
      <alignment horizontal="center"/>
    </xf>
    <xf numFmtId="164" fontId="53" fillId="3" borderId="4" xfId="1" applyFont="1" applyFill="1" applyBorder="1"/>
    <xf numFmtId="164" fontId="53" fillId="3" borderId="4" xfId="1" applyFont="1" applyFill="1" applyBorder="1" applyAlignment="1">
      <alignment horizontal="center"/>
    </xf>
    <xf numFmtId="14" fontId="0" fillId="0" borderId="4" xfId="0" applyNumberFormat="1" applyFont="1" applyBorder="1"/>
    <xf numFmtId="164" fontId="54" fillId="3" borderId="4" xfId="1" applyFont="1" applyFill="1" applyBorder="1"/>
    <xf numFmtId="0" fontId="54" fillId="3" borderId="4" xfId="1" applyNumberFormat="1" applyFont="1" applyFill="1" applyBorder="1" applyAlignment="1">
      <alignment horizontal="center"/>
    </xf>
    <xf numFmtId="14" fontId="54" fillId="0" borderId="4" xfId="0" applyNumberFormat="1" applyFont="1" applyBorder="1" applyAlignment="1">
      <alignment horizontal="center"/>
    </xf>
    <xf numFmtId="4" fontId="54" fillId="0" borderId="4" xfId="1" applyNumberFormat="1" applyFont="1" applyBorder="1" applyAlignment="1">
      <alignment horizontal="center"/>
    </xf>
    <xf numFmtId="164" fontId="55" fillId="3" borderId="4" xfId="1" applyFont="1" applyFill="1" applyBorder="1"/>
    <xf numFmtId="167" fontId="55" fillId="3" borderId="4" xfId="1" applyNumberFormat="1" applyFont="1" applyFill="1" applyBorder="1"/>
    <xf numFmtId="164" fontId="54" fillId="3" borderId="4" xfId="1" applyFont="1" applyFill="1" applyBorder="1" applyAlignment="1">
      <alignment horizontal="center" vertical="center"/>
    </xf>
    <xf numFmtId="14" fontId="54" fillId="3" borderId="4" xfId="0" applyNumberFormat="1" applyFont="1" applyFill="1" applyBorder="1" applyAlignment="1">
      <alignment horizontal="center" vertical="center" wrapText="1"/>
    </xf>
    <xf numFmtId="14" fontId="54" fillId="2" borderId="0" xfId="1" applyNumberFormat="1" applyFont="1" applyFill="1"/>
    <xf numFmtId="14" fontId="54" fillId="4" borderId="0" xfId="1" applyNumberFormat="1" applyFont="1" applyFill="1"/>
    <xf numFmtId="43" fontId="54" fillId="4" borderId="11" xfId="1" applyNumberFormat="1" applyFont="1" applyFill="1" applyBorder="1"/>
    <xf numFmtId="14" fontId="54" fillId="3" borderId="0" xfId="1" applyNumberFormat="1" applyFont="1" applyFill="1"/>
    <xf numFmtId="43" fontId="54" fillId="3" borderId="12" xfId="1" applyNumberFormat="1" applyFont="1" applyFill="1" applyBorder="1"/>
    <xf numFmtId="43" fontId="54" fillId="3" borderId="13" xfId="1" applyNumberFormat="1" applyFont="1" applyFill="1" applyBorder="1"/>
    <xf numFmtId="14" fontId="53" fillId="3" borderId="0" xfId="1" applyNumberFormat="1" applyFont="1" applyFill="1"/>
    <xf numFmtId="43" fontId="54" fillId="3" borderId="0" xfId="1" applyNumberFormat="1" applyFont="1" applyFill="1"/>
    <xf numFmtId="14" fontId="54" fillId="3" borderId="1" xfId="1" applyNumberFormat="1" applyFont="1" applyFill="1" applyBorder="1"/>
    <xf numFmtId="14" fontId="54" fillId="0" borderId="0" xfId="1" applyNumberFormat="1" applyFont="1"/>
    <xf numFmtId="43" fontId="54" fillId="0" borderId="0" xfId="1" applyNumberFormat="1" applyFont="1"/>
    <xf numFmtId="43" fontId="54" fillId="4" borderId="0" xfId="1" applyNumberFormat="1" applyFont="1" applyFill="1"/>
    <xf numFmtId="164" fontId="0" fillId="0" borderId="0" xfId="0" applyNumberFormat="1" applyFont="1"/>
    <xf numFmtId="43" fontId="54" fillId="3" borderId="1" xfId="1" applyNumberFormat="1" applyFont="1" applyFill="1" applyBorder="1"/>
    <xf numFmtId="0" fontId="53" fillId="3" borderId="0" xfId="4" applyFont="1" applyFill="1"/>
    <xf numFmtId="0" fontId="53" fillId="0" borderId="0" xfId="4" applyFont="1"/>
    <xf numFmtId="14" fontId="53" fillId="3" borderId="4" xfId="4" applyNumberFormat="1" applyFont="1" applyFill="1" applyBorder="1"/>
    <xf numFmtId="9" fontId="53" fillId="3" borderId="4" xfId="4" applyNumberFormat="1" applyFont="1" applyFill="1" applyBorder="1"/>
    <xf numFmtId="43" fontId="53" fillId="3" borderId="4" xfId="6" applyFont="1" applyFill="1" applyBorder="1"/>
    <xf numFmtId="0" fontId="53" fillId="3" borderId="4" xfId="4" applyFont="1" applyFill="1" applyBorder="1" applyAlignment="1">
      <alignment horizontal="center"/>
    </xf>
    <xf numFmtId="43" fontId="53" fillId="3" borderId="4" xfId="4" applyNumberFormat="1" applyFont="1" applyFill="1" applyBorder="1"/>
    <xf numFmtId="0" fontId="53" fillId="3" borderId="4" xfId="4" applyFont="1" applyFill="1" applyBorder="1"/>
    <xf numFmtId="164" fontId="53" fillId="3" borderId="4" xfId="4" applyNumberFormat="1" applyFont="1" applyFill="1" applyBorder="1"/>
    <xf numFmtId="14" fontId="53" fillId="8" borderId="0" xfId="4" applyNumberFormat="1" applyFont="1" applyFill="1"/>
    <xf numFmtId="43" fontId="53" fillId="8" borderId="0" xfId="4" applyNumberFormat="1" applyFont="1" applyFill="1"/>
    <xf numFmtId="0" fontId="53" fillId="8" borderId="0" xfId="4" applyFont="1" applyFill="1"/>
    <xf numFmtId="14" fontId="54" fillId="3" borderId="0" xfId="4" applyNumberFormat="1" applyFont="1" applyFill="1"/>
    <xf numFmtId="164" fontId="53" fillId="3" borderId="0" xfId="4" applyNumberFormat="1" applyFont="1" applyFill="1"/>
    <xf numFmtId="43" fontId="54" fillId="3" borderId="0" xfId="6" applyFont="1" applyFill="1"/>
    <xf numFmtId="14" fontId="54" fillId="4" borderId="0" xfId="4" applyNumberFormat="1" applyFont="1" applyFill="1"/>
    <xf numFmtId="0" fontId="53" fillId="4" borderId="0" xfId="4" applyFont="1" applyFill="1"/>
    <xf numFmtId="164" fontId="53" fillId="4" borderId="0" xfId="4" applyNumberFormat="1" applyFont="1" applyFill="1"/>
    <xf numFmtId="43" fontId="54" fillId="4" borderId="0" xfId="6" applyFont="1" applyFill="1"/>
    <xf numFmtId="164" fontId="53" fillId="8" borderId="0" xfId="4" applyNumberFormat="1" applyFont="1" applyFill="1"/>
    <xf numFmtId="43" fontId="53" fillId="3" borderId="0" xfId="6" applyFont="1" applyFill="1"/>
    <xf numFmtId="14" fontId="54" fillId="3" borderId="1" xfId="4" applyNumberFormat="1" applyFont="1" applyFill="1" applyBorder="1"/>
    <xf numFmtId="0" fontId="53" fillId="3" borderId="1" xfId="4" applyFont="1" applyFill="1" applyBorder="1"/>
    <xf numFmtId="164" fontId="53" fillId="3" borderId="1" xfId="4" applyNumberFormat="1" applyFont="1" applyFill="1" applyBorder="1"/>
    <xf numFmtId="43" fontId="54" fillId="3" borderId="1" xfId="6" applyFont="1" applyFill="1" applyBorder="1"/>
    <xf numFmtId="0" fontId="16" fillId="2" borderId="4" xfId="0" applyFont="1" applyFill="1" applyBorder="1" applyAlignment="1">
      <alignment horizontal="center" wrapText="1"/>
    </xf>
    <xf numFmtId="43" fontId="0" fillId="3" borderId="0" xfId="5" applyFont="1" applyFill="1"/>
    <xf numFmtId="175" fontId="0" fillId="3" borderId="0" xfId="5" applyNumberFormat="1" applyFont="1" applyFill="1"/>
    <xf numFmtId="176" fontId="0" fillId="3" borderId="0" xfId="1" applyNumberFormat="1" applyFont="1" applyFill="1"/>
    <xf numFmtId="0" fontId="4" fillId="3" borderId="0" xfId="0" applyFont="1" applyFill="1"/>
    <xf numFmtId="10" fontId="0" fillId="3" borderId="0" xfId="2" applyNumberFormat="1" applyFont="1" applyFill="1"/>
    <xf numFmtId="179" fontId="0" fillId="3" borderId="0" xfId="0" applyNumberFormat="1" applyFont="1" applyFill="1"/>
    <xf numFmtId="179" fontId="46" fillId="24" borderId="0" xfId="0" applyNumberFormat="1" applyFont="1" applyFill="1" applyAlignment="1">
      <alignment horizontal="center" vertical="center" wrapText="1"/>
    </xf>
    <xf numFmtId="10" fontId="46" fillId="24" borderId="0" xfId="2" applyNumberFormat="1" applyFont="1" applyFill="1" applyAlignment="1">
      <alignment horizontal="center" vertical="center" wrapText="1"/>
    </xf>
    <xf numFmtId="168" fontId="46" fillId="24" borderId="0" xfId="5" applyNumberFormat="1" applyFont="1" applyFill="1" applyAlignment="1">
      <alignment horizontal="center" vertical="center" wrapText="1"/>
    </xf>
    <xf numFmtId="180" fontId="26" fillId="0" borderId="0" xfId="7" applyNumberFormat="1" applyFont="1" applyAlignment="1">
      <alignment horizontal="right" vertical="top" wrapText="1"/>
    </xf>
    <xf numFmtId="14" fontId="26" fillId="0" borderId="10" xfId="7" applyNumberFormat="1" applyFont="1" applyBorder="1" applyAlignment="1">
      <alignment horizontal="left" vertical="top" wrapText="1"/>
    </xf>
    <xf numFmtId="10" fontId="26" fillId="0" borderId="10" xfId="2" applyNumberFormat="1" applyFont="1" applyBorder="1" applyAlignment="1">
      <alignment horizontal="right" vertical="top" wrapText="1"/>
    </xf>
    <xf numFmtId="168" fontId="26" fillId="0" borderId="10" xfId="5" applyNumberFormat="1" applyFont="1" applyBorder="1" applyAlignment="1">
      <alignment horizontal="right" vertical="top" wrapText="1"/>
    </xf>
    <xf numFmtId="165" fontId="26" fillId="0" borderId="0" xfId="7" applyNumberFormat="1" applyFont="1" applyAlignment="1">
      <alignment horizontal="right" vertical="top" wrapText="1"/>
    </xf>
    <xf numFmtId="179" fontId="26" fillId="0" borderId="4" xfId="7" applyNumberFormat="1" applyFont="1" applyBorder="1" applyAlignment="1">
      <alignment horizontal="left" vertical="top"/>
    </xf>
    <xf numFmtId="0" fontId="26" fillId="0" borderId="4" xfId="7" applyFont="1" applyBorder="1" applyAlignment="1">
      <alignment horizontal="center"/>
    </xf>
    <xf numFmtId="0" fontId="26" fillId="0" borderId="4" xfId="7" applyFont="1" applyBorder="1" applyAlignment="1">
      <alignment horizontal="center" vertical="top"/>
    </xf>
    <xf numFmtId="10" fontId="26" fillId="0" borderId="4" xfId="2" applyNumberFormat="1" applyFont="1" applyBorder="1" applyAlignment="1">
      <alignment horizontal="center" vertical="top"/>
    </xf>
    <xf numFmtId="168" fontId="0" fillId="0" borderId="4" xfId="5" applyNumberFormat="1" applyFont="1" applyBorder="1" applyAlignment="1">
      <alignment horizontal="center"/>
    </xf>
    <xf numFmtId="165" fontId="26" fillId="0" borderId="4" xfId="7" applyNumberFormat="1" applyFont="1" applyBorder="1" applyAlignment="1">
      <alignment horizontal="center" vertical="top"/>
    </xf>
    <xf numFmtId="0" fontId="26" fillId="26" borderId="4" xfId="7" applyFont="1" applyFill="1" applyBorder="1" applyAlignment="1">
      <alignment horizontal="center" vertical="top"/>
    </xf>
    <xf numFmtId="14" fontId="0" fillId="2" borderId="4" xfId="0" applyNumberFormat="1" applyFont="1" applyFill="1" applyBorder="1"/>
    <xf numFmtId="0" fontId="26" fillId="26" borderId="4" xfId="7" applyFont="1" applyFill="1" applyBorder="1" applyAlignment="1">
      <alignment horizontal="center"/>
    </xf>
    <xf numFmtId="0" fontId="0" fillId="26" borderId="4" xfId="0" applyFont="1" applyFill="1" applyBorder="1" applyAlignment="1">
      <alignment horizontal="center"/>
    </xf>
    <xf numFmtId="179" fontId="26" fillId="2" borderId="4" xfId="7" applyNumberFormat="1" applyFont="1" applyFill="1" applyBorder="1" applyAlignment="1">
      <alignment horizontal="left" vertical="top"/>
    </xf>
    <xf numFmtId="0" fontId="26" fillId="26" borderId="4" xfId="7" applyFont="1" applyFill="1" applyBorder="1" applyAlignment="1">
      <alignment horizontal="right" vertical="top"/>
    </xf>
    <xf numFmtId="168" fontId="0" fillId="3" borderId="0" xfId="5" applyNumberFormat="1" applyFont="1" applyFill="1" applyAlignment="1"/>
    <xf numFmtId="183" fontId="0" fillId="0" borderId="4" xfId="5" applyNumberFormat="1" applyFont="1" applyBorder="1" applyAlignment="1"/>
    <xf numFmtId="179" fontId="26" fillId="0" borderId="4" xfId="7" applyNumberFormat="1" applyFont="1" applyBorder="1" applyAlignment="1">
      <alignment horizontal="left" vertical="top" wrapText="1"/>
    </xf>
    <xf numFmtId="179" fontId="26" fillId="0" borderId="4" xfId="7" applyNumberFormat="1" applyFont="1" applyBorder="1" applyAlignment="1">
      <alignment horizontal="center" vertical="top" wrapText="1"/>
    </xf>
    <xf numFmtId="0" fontId="26" fillId="0" borderId="4" xfId="7" applyFont="1" applyBorder="1" applyAlignment="1">
      <alignment horizontal="center" vertical="top" wrapText="1"/>
    </xf>
    <xf numFmtId="10" fontId="26" fillId="0" borderId="4" xfId="2" applyNumberFormat="1" applyFont="1" applyBorder="1" applyAlignment="1">
      <alignment horizontal="center" vertical="top" wrapText="1"/>
    </xf>
    <xf numFmtId="14" fontId="0" fillId="0" borderId="4" xfId="5" applyNumberFormat="1" applyFont="1" applyBorder="1" applyAlignment="1"/>
    <xf numFmtId="179" fontId="26" fillId="2" borderId="4" xfId="7" applyNumberFormat="1" applyFont="1" applyFill="1" applyBorder="1" applyAlignment="1">
      <alignment horizontal="left" vertical="top" wrapText="1"/>
    </xf>
    <xf numFmtId="2" fontId="26" fillId="2" borderId="4" xfId="7" applyNumberFormat="1" applyFont="1" applyFill="1" applyBorder="1" applyAlignment="1">
      <alignment horizontal="left" vertical="top" wrapText="1"/>
    </xf>
    <xf numFmtId="0" fontId="26" fillId="2" borderId="4" xfId="7" applyFont="1" applyFill="1" applyBorder="1" applyAlignment="1">
      <alignment horizontal="right" vertical="top" wrapText="1"/>
    </xf>
    <xf numFmtId="165" fontId="26" fillId="2" borderId="4" xfId="7" applyNumberFormat="1" applyFont="1" applyFill="1" applyBorder="1" applyAlignment="1">
      <alignment horizontal="right" vertical="top" wrapText="1"/>
    </xf>
    <xf numFmtId="0" fontId="0" fillId="26" borderId="0" xfId="0" applyFont="1" applyFill="1"/>
    <xf numFmtId="0" fontId="26" fillId="0" borderId="4" xfId="7" applyFont="1" applyBorder="1" applyAlignment="1">
      <alignment horizontal="center" wrapText="1"/>
    </xf>
    <xf numFmtId="0" fontId="0" fillId="26" borderId="0" xfId="0" applyFont="1" applyFill="1" applyAlignment="1">
      <alignment horizontal="center"/>
    </xf>
    <xf numFmtId="165" fontId="26" fillId="0" borderId="4" xfId="7" applyNumberFormat="1" applyFont="1" applyBorder="1" applyAlignment="1">
      <alignment horizontal="right" vertical="top" wrapText="1"/>
    </xf>
    <xf numFmtId="183" fontId="19" fillId="0" borderId="4" xfId="0" applyNumberFormat="1" applyFont="1" applyBorder="1"/>
    <xf numFmtId="14" fontId="19" fillId="0" borderId="4" xfId="0" applyNumberFormat="1" applyFont="1" applyBorder="1"/>
    <xf numFmtId="183" fontId="2" fillId="0" borderId="4" xfId="0" applyNumberFormat="1" applyFont="1" applyBorder="1"/>
    <xf numFmtId="43" fontId="0" fillId="3" borderId="0" xfId="5" applyFont="1" applyFill="1" applyAlignment="1">
      <alignment horizontal="center" vertical="center"/>
    </xf>
    <xf numFmtId="168" fontId="3" fillId="3" borderId="0" xfId="5" applyNumberFormat="1" applyFont="1" applyFill="1" applyAlignment="1">
      <alignment horizontal="center" vertical="center"/>
    </xf>
    <xf numFmtId="43" fontId="3" fillId="3" borderId="0" xfId="5" applyFont="1" applyFill="1" applyAlignment="1">
      <alignment horizontal="center" vertical="center"/>
    </xf>
    <xf numFmtId="168" fontId="3" fillId="3" borderId="0" xfId="5" applyNumberFormat="1" applyFont="1" applyFill="1" applyAlignment="1">
      <alignment horizontal="center" vertical="center" wrapText="1"/>
    </xf>
    <xf numFmtId="43" fontId="3" fillId="3" borderId="0" xfId="5" applyFont="1" applyFill="1" applyAlignment="1">
      <alignment horizontal="center" vertical="center" wrapText="1"/>
    </xf>
    <xf numFmtId="14" fontId="3" fillId="4" borderId="0" xfId="5" applyNumberFormat="1" applyFont="1" applyFill="1" applyBorder="1" applyAlignment="1">
      <alignment horizontal="center" vertical="center"/>
    </xf>
    <xf numFmtId="44" fontId="0" fillId="4" borderId="0" xfId="5" applyNumberFormat="1" applyFont="1" applyFill="1" applyAlignment="1">
      <alignment horizontal="center" vertical="center"/>
    </xf>
    <xf numFmtId="168" fontId="0" fillId="4" borderId="0" xfId="5" applyNumberFormat="1" applyFont="1" applyFill="1" applyAlignment="1">
      <alignment horizontal="center" vertical="center"/>
    </xf>
    <xf numFmtId="168" fontId="0" fillId="4" borderId="0" xfId="5" applyNumberFormat="1" applyFont="1" applyFill="1" applyAlignment="1">
      <alignment horizontal="center"/>
    </xf>
    <xf numFmtId="14" fontId="23" fillId="3" borderId="0" xfId="5" applyNumberFormat="1" applyFont="1" applyFill="1" applyBorder="1" applyAlignment="1">
      <alignment horizontal="center" vertical="center"/>
    </xf>
    <xf numFmtId="44" fontId="19" fillId="3" borderId="0" xfId="0" applyNumberFormat="1" applyFont="1" applyFill="1"/>
    <xf numFmtId="168" fontId="0" fillId="3" borderId="0" xfId="5" applyNumberFormat="1" applyFont="1" applyFill="1" applyAlignment="1">
      <alignment horizontal="center" vertical="center"/>
    </xf>
    <xf numFmtId="168" fontId="0" fillId="3" borderId="0" xfId="5" applyNumberFormat="1" applyFont="1" applyFill="1" applyAlignment="1">
      <alignment horizontal="center"/>
    </xf>
    <xf numFmtId="44" fontId="0" fillId="3" borderId="0" xfId="5" applyNumberFormat="1" applyFont="1" applyFill="1" applyAlignment="1">
      <alignment horizontal="center" vertical="center"/>
    </xf>
    <xf numFmtId="14" fontId="2" fillId="3" borderId="0" xfId="5" applyNumberFormat="1" applyFont="1" applyFill="1" applyBorder="1" applyAlignment="1">
      <alignment horizontal="center" vertical="center"/>
    </xf>
    <xf numFmtId="44" fontId="2" fillId="3" borderId="0" xfId="0" applyNumberFormat="1" applyFont="1" applyFill="1"/>
    <xf numFmtId="168" fontId="0" fillId="3" borderId="0" xfId="5" applyNumberFormat="1" applyFont="1" applyFill="1" applyBorder="1" applyAlignment="1">
      <alignment horizontal="center" vertical="center"/>
    </xf>
    <xf numFmtId="168" fontId="0" fillId="3" borderId="0" xfId="5" applyNumberFormat="1" applyFont="1" applyFill="1" applyBorder="1" applyAlignment="1">
      <alignment horizontal="center"/>
    </xf>
    <xf numFmtId="44" fontId="2" fillId="3" borderId="0" xfId="5" applyNumberFormat="1" applyFont="1" applyFill="1" applyBorder="1" applyAlignment="1">
      <alignment horizontal="center" vertical="center"/>
    </xf>
    <xf numFmtId="43" fontId="2" fillId="4" borderId="3" xfId="5" applyFont="1" applyFill="1" applyBorder="1" applyAlignment="1"/>
    <xf numFmtId="43" fontId="0" fillId="4" borderId="3" xfId="5" applyFont="1" applyFill="1" applyBorder="1" applyAlignment="1"/>
    <xf numFmtId="44" fontId="3" fillId="4" borderId="3" xfId="5" applyNumberFormat="1" applyFont="1" applyFill="1" applyBorder="1" applyAlignment="1"/>
    <xf numFmtId="43" fontId="0" fillId="3" borderId="0" xfId="5" applyFont="1" applyFill="1" applyAlignment="1"/>
    <xf numFmtId="43" fontId="0" fillId="3" borderId="0" xfId="5" applyFont="1" applyFill="1" applyAlignment="1">
      <alignment horizontal="center"/>
    </xf>
    <xf numFmtId="14" fontId="26" fillId="3" borderId="10" xfId="7" applyNumberFormat="1" applyFont="1" applyFill="1" applyBorder="1" applyAlignment="1">
      <alignment horizontal="left" vertical="top" wrapText="1"/>
    </xf>
    <xf numFmtId="10" fontId="26" fillId="3" borderId="10" xfId="2" applyNumberFormat="1" applyFont="1" applyFill="1" applyBorder="1" applyAlignment="1">
      <alignment horizontal="right" vertical="top" wrapText="1"/>
    </xf>
    <xf numFmtId="168" fontId="26" fillId="3" borderId="10" xfId="5" applyNumberFormat="1" applyFont="1" applyFill="1" applyBorder="1" applyAlignment="1">
      <alignment horizontal="right" vertical="top" wrapText="1"/>
    </xf>
    <xf numFmtId="179" fontId="26" fillId="3" borderId="4" xfId="7" applyNumberFormat="1" applyFont="1" applyFill="1" applyBorder="1" applyAlignment="1">
      <alignment horizontal="left" vertical="top" wrapText="1"/>
    </xf>
    <xf numFmtId="0" fontId="26" fillId="3" borderId="4" xfId="7" applyFont="1" applyFill="1" applyBorder="1" applyAlignment="1">
      <alignment horizontal="center" wrapText="1"/>
    </xf>
    <xf numFmtId="179" fontId="26" fillId="4" borderId="4" xfId="7" applyNumberFormat="1" applyFont="1" applyFill="1" applyBorder="1" applyAlignment="1">
      <alignment horizontal="left" vertical="top" wrapText="1"/>
    </xf>
    <xf numFmtId="0" fontId="26" fillId="4" borderId="4" xfId="7" applyFont="1" applyFill="1" applyBorder="1" applyAlignment="1">
      <alignment horizontal="center" wrapText="1"/>
    </xf>
    <xf numFmtId="165" fontId="26" fillId="4" borderId="4" xfId="7" applyNumberFormat="1" applyFont="1" applyFill="1" applyBorder="1" applyAlignment="1">
      <alignment horizontal="right" vertical="top" wrapText="1"/>
    </xf>
    <xf numFmtId="165" fontId="0" fillId="0" borderId="0" xfId="0" applyNumberFormat="1" applyFont="1" applyAlignment="1">
      <alignment horizontal="left"/>
    </xf>
    <xf numFmtId="10" fontId="23" fillId="2" borderId="10" xfId="2" applyNumberFormat="1" applyFont="1" applyFill="1" applyBorder="1" applyAlignment="1">
      <alignment horizontal="right" vertical="top" wrapText="1"/>
    </xf>
    <xf numFmtId="168" fontId="23" fillId="2" borderId="10" xfId="5" applyNumberFormat="1" applyFont="1" applyFill="1" applyBorder="1" applyAlignment="1">
      <alignment horizontal="right" vertical="top" wrapText="1"/>
    </xf>
    <xf numFmtId="10" fontId="2" fillId="0" borderId="0" xfId="2" applyNumberFormat="1" applyFont="1"/>
    <xf numFmtId="10" fontId="0" fillId="0" borderId="0" xfId="2" applyNumberFormat="1" applyFont="1"/>
    <xf numFmtId="10" fontId="0" fillId="2" borderId="0" xfId="2" applyNumberFormat="1" applyFont="1" applyFill="1"/>
    <xf numFmtId="0" fontId="0" fillId="2" borderId="0" xfId="0" applyFont="1" applyFill="1"/>
    <xf numFmtId="179" fontId="0" fillId="0" borderId="0" xfId="0" applyNumberFormat="1" applyFont="1"/>
    <xf numFmtId="10" fontId="0" fillId="3" borderId="4" xfId="0" applyNumberFormat="1" applyFont="1" applyFill="1" applyBorder="1" applyAlignment="1">
      <alignment horizontal="center"/>
    </xf>
    <xf numFmtId="10" fontId="0" fillId="3" borderId="0" xfId="0" applyNumberFormat="1" applyFont="1" applyFill="1" applyAlignment="1">
      <alignment horizontal="center"/>
    </xf>
    <xf numFmtId="14" fontId="0" fillId="3" borderId="4" xfId="0" applyNumberFormat="1" applyFont="1" applyFill="1" applyBorder="1" applyAlignment="1">
      <alignment horizontal="center"/>
    </xf>
    <xf numFmtId="0" fontId="53" fillId="3" borderId="4" xfId="0" applyFont="1" applyFill="1" applyBorder="1" applyAlignment="1">
      <alignment horizontal="center"/>
    </xf>
    <xf numFmtId="0" fontId="53" fillId="3" borderId="0" xfId="0" applyFont="1" applyFill="1" applyAlignment="1">
      <alignment horizontal="center"/>
    </xf>
    <xf numFmtId="0" fontId="53" fillId="3" borderId="4" xfId="0" applyFont="1" applyFill="1" applyBorder="1"/>
    <xf numFmtId="0" fontId="53" fillId="3" borderId="0" xfId="0" applyFont="1" applyFill="1"/>
    <xf numFmtId="0" fontId="0" fillId="3" borderId="4" xfId="0" applyFont="1" applyFill="1" applyBorder="1" applyAlignment="1">
      <alignment horizontal="center"/>
    </xf>
    <xf numFmtId="14" fontId="53" fillId="3" borderId="4" xfId="0" applyNumberFormat="1" applyFont="1" applyFill="1" applyBorder="1"/>
    <xf numFmtId="14" fontId="53" fillId="3" borderId="0" xfId="0" applyNumberFormat="1" applyFont="1" applyFill="1"/>
    <xf numFmtId="0" fontId="0" fillId="3" borderId="4" xfId="0" applyFont="1" applyFill="1" applyBorder="1"/>
    <xf numFmtId="0" fontId="33" fillId="3" borderId="4" xfId="0" applyFont="1" applyFill="1" applyBorder="1" applyAlignment="1">
      <alignment horizontal="center" vertical="top" wrapText="1"/>
    </xf>
    <xf numFmtId="0" fontId="0" fillId="4" borderId="0" xfId="0" applyFont="1" applyFill="1"/>
    <xf numFmtId="176" fontId="0" fillId="4" borderId="0" xfId="0" applyNumberFormat="1" applyFont="1" applyFill="1"/>
    <xf numFmtId="165" fontId="0" fillId="4" borderId="0" xfId="0" applyNumberFormat="1" applyFont="1" applyFill="1"/>
    <xf numFmtId="164" fontId="0" fillId="4" borderId="0" xfId="0" applyNumberFormat="1" applyFont="1" applyFill="1"/>
    <xf numFmtId="176" fontId="0" fillId="3" borderId="0" xfId="0" applyNumberFormat="1" applyFont="1" applyFill="1"/>
    <xf numFmtId="165" fontId="0" fillId="3" borderId="0" xfId="0" applyNumberFormat="1" applyFont="1" applyFill="1"/>
    <xf numFmtId="164" fontId="0" fillId="3" borderId="0" xfId="0" applyNumberFormat="1" applyFont="1" applyFill="1"/>
    <xf numFmtId="0" fontId="0" fillId="0" borderId="0" xfId="0" applyFont="1" applyAlignment="1">
      <alignment horizontal="center"/>
    </xf>
    <xf numFmtId="0" fontId="0" fillId="3" borderId="9" xfId="0" applyFont="1" applyFill="1" applyBorder="1"/>
    <xf numFmtId="164" fontId="53" fillId="3" borderId="4" xfId="0" applyNumberFormat="1" applyFont="1" applyFill="1" applyBorder="1"/>
    <xf numFmtId="14" fontId="0" fillId="3" borderId="4" xfId="0" applyNumberFormat="1" applyFont="1" applyFill="1" applyBorder="1" applyAlignment="1">
      <alignment horizontal="center" vertical="center"/>
    </xf>
    <xf numFmtId="167" fontId="54" fillId="3" borderId="4" xfId="0" applyNumberFormat="1" applyFont="1" applyFill="1" applyBorder="1"/>
    <xf numFmtId="43" fontId="0" fillId="3" borderId="0" xfId="0" applyNumberFormat="1" applyFont="1" applyFill="1"/>
    <xf numFmtId="14" fontId="0" fillId="8" borderId="0" xfId="0" applyNumberFormat="1" applyFont="1" applyFill="1"/>
    <xf numFmtId="0" fontId="0" fillId="8" borderId="0" xfId="0" applyFont="1" applyFill="1"/>
    <xf numFmtId="0" fontId="0" fillId="18" borderId="0" xfId="0" applyFont="1" applyFill="1"/>
    <xf numFmtId="10" fontId="0" fillId="7" borderId="0" xfId="0" applyNumberFormat="1" applyFont="1" applyFill="1"/>
    <xf numFmtId="0" fontId="0" fillId="7" borderId="0" xfId="0" applyFont="1" applyFill="1"/>
    <xf numFmtId="0" fontId="0" fillId="3" borderId="0" xfId="0" applyFont="1" applyFill="1" applyAlignment="1">
      <alignment horizontal="left" vertical="top" wrapText="1"/>
    </xf>
    <xf numFmtId="0" fontId="0" fillId="0" borderId="0" xfId="0" applyFont="1" applyAlignment="1">
      <alignment horizontal="left" vertical="top" wrapText="1"/>
    </xf>
    <xf numFmtId="168" fontId="46" fillId="24" borderId="0" xfId="3" applyNumberFormat="1" applyFont="1" applyFill="1" applyAlignment="1">
      <alignment horizontal="center" vertical="center" wrapText="1"/>
    </xf>
    <xf numFmtId="0" fontId="3" fillId="3" borderId="4" xfId="0" applyFont="1" applyFill="1" applyBorder="1"/>
    <xf numFmtId="183" fontId="0" fillId="3" borderId="4" xfId="5" applyNumberFormat="1" applyFont="1" applyFill="1" applyBorder="1" applyAlignment="1"/>
    <xf numFmtId="168" fontId="26" fillId="0" borderId="10" xfId="3" applyNumberFormat="1" applyFont="1" applyBorder="1" applyAlignment="1">
      <alignment horizontal="right" vertical="top" wrapText="1"/>
    </xf>
    <xf numFmtId="0" fontId="0" fillId="0" borderId="4" xfId="0" applyFont="1" applyBorder="1" applyAlignment="1">
      <alignment horizontal="center"/>
    </xf>
    <xf numFmtId="14" fontId="0" fillId="3" borderId="4" xfId="5" applyNumberFormat="1" applyFont="1" applyFill="1" applyBorder="1" applyAlignment="1"/>
    <xf numFmtId="14" fontId="0" fillId="0" borderId="4" xfId="0" applyNumberFormat="1" applyFont="1" applyBorder="1" applyAlignment="1">
      <alignment horizontal="center"/>
    </xf>
    <xf numFmtId="14" fontId="0" fillId="3" borderId="4" xfId="0" applyNumberFormat="1" applyFont="1" applyFill="1" applyBorder="1"/>
    <xf numFmtId="2" fontId="0" fillId="0" borderId="4" xfId="0" applyNumberFormat="1" applyFont="1" applyBorder="1" applyAlignment="1">
      <alignment horizontal="center"/>
    </xf>
    <xf numFmtId="184" fontId="0" fillId="0" borderId="4" xfId="0" applyNumberFormat="1" applyFont="1" applyBorder="1" applyAlignment="1">
      <alignment horizontal="center"/>
    </xf>
    <xf numFmtId="183" fontId="0" fillId="0" borderId="0" xfId="0" applyNumberFormat="1" applyFont="1"/>
    <xf numFmtId="0" fontId="0" fillId="6" borderId="1" xfId="0" applyFont="1" applyFill="1" applyBorder="1" applyAlignment="1">
      <alignment horizontal="center"/>
    </xf>
    <xf numFmtId="14" fontId="0" fillId="8" borderId="4" xfId="0" applyNumberFormat="1" applyFont="1" applyFill="1" applyBorder="1" applyAlignment="1">
      <alignment horizontal="center"/>
    </xf>
    <xf numFmtId="0" fontId="0" fillId="8" borderId="4" xfId="0" applyFont="1" applyFill="1" applyBorder="1" applyAlignment="1">
      <alignment horizontal="center"/>
    </xf>
    <xf numFmtId="2" fontId="0" fillId="8" borderId="4" xfId="0" applyNumberFormat="1" applyFont="1" applyFill="1" applyBorder="1" applyAlignment="1">
      <alignment horizontal="center"/>
    </xf>
    <xf numFmtId="184" fontId="0" fillId="8" borderId="4" xfId="0" applyNumberFormat="1" applyFont="1" applyFill="1" applyBorder="1" applyAlignment="1">
      <alignment horizontal="center"/>
    </xf>
    <xf numFmtId="14" fontId="23" fillId="0" borderId="10" xfId="7" applyNumberFormat="1" applyFont="1" applyBorder="1" applyAlignment="1">
      <alignment horizontal="left" vertical="top" wrapText="1"/>
    </xf>
    <xf numFmtId="10" fontId="23" fillId="0" borderId="10" xfId="2" applyNumberFormat="1" applyFont="1" applyBorder="1" applyAlignment="1">
      <alignment horizontal="right" vertical="top" wrapText="1"/>
    </xf>
    <xf numFmtId="168" fontId="23" fillId="0" borderId="10" xfId="3" applyNumberFormat="1" applyFont="1" applyBorder="1" applyAlignment="1">
      <alignment horizontal="right" vertical="top" wrapText="1"/>
    </xf>
    <xf numFmtId="0" fontId="0" fillId="3" borderId="0" xfId="0" applyFill="1" applyAlignment="1">
      <alignment horizontal="center" vertical="center" wrapText="1"/>
    </xf>
    <xf numFmtId="0" fontId="18" fillId="19" borderId="0" xfId="0" applyFont="1" applyFill="1" applyAlignment="1">
      <alignment horizontal="center" vertical="center"/>
    </xf>
    <xf numFmtId="0" fontId="51" fillId="0" borderId="0" xfId="8" applyFill="1"/>
    <xf numFmtId="43" fontId="3" fillId="0" borderId="4" xfId="0" applyNumberFormat="1" applyFont="1" applyBorder="1"/>
    <xf numFmtId="0" fontId="0" fillId="3" borderId="14" xfId="0" applyFill="1" applyBorder="1" applyAlignment="1">
      <alignment horizontal="left" vertical="center" wrapText="1"/>
    </xf>
    <xf numFmtId="167" fontId="13" fillId="3" borderId="6" xfId="3" applyNumberFormat="1" applyFont="1" applyFill="1" applyBorder="1" applyAlignment="1"/>
    <xf numFmtId="167" fontId="13" fillId="3" borderId="7" xfId="3" applyNumberFormat="1" applyFont="1" applyFill="1" applyBorder="1" applyAlignment="1"/>
    <xf numFmtId="0" fontId="13" fillId="3" borderId="0" xfId="0" applyFont="1" applyFill="1" applyAlignment="1">
      <alignment horizontal="left"/>
    </xf>
    <xf numFmtId="0" fontId="22" fillId="15" borderId="0" xfId="0" applyFont="1" applyFill="1" applyAlignment="1">
      <alignment horizontal="center" wrapText="1"/>
    </xf>
    <xf numFmtId="0" fontId="0" fillId="4" borderId="0" xfId="0" applyFont="1" applyFill="1" applyAlignment="1">
      <alignment horizontal="left" vertical="center"/>
    </xf>
    <xf numFmtId="0" fontId="28" fillId="3" borderId="4" xfId="0" applyFont="1" applyFill="1" applyBorder="1" applyAlignment="1">
      <alignment horizontal="center"/>
    </xf>
    <xf numFmtId="0" fontId="28" fillId="3" borderId="8" xfId="0" applyFont="1" applyFill="1" applyBorder="1" applyAlignment="1">
      <alignment horizontal="center"/>
    </xf>
    <xf numFmtId="0" fontId="29" fillId="3" borderId="0" xfId="0" applyFont="1" applyFill="1"/>
    <xf numFmtId="14" fontId="29" fillId="3" borderId="0" xfId="0" applyNumberFormat="1" applyFont="1" applyFill="1"/>
    <xf numFmtId="4" fontId="29" fillId="3" borderId="0" xfId="0" applyNumberFormat="1" applyFont="1" applyFill="1"/>
    <xf numFmtId="4" fontId="27" fillId="3" borderId="0" xfId="0" applyNumberFormat="1" applyFont="1" applyFill="1"/>
    <xf numFmtId="176" fontId="0" fillId="3" borderId="4" xfId="1" applyNumberFormat="1" applyFont="1" applyFill="1" applyBorder="1" applyAlignment="1">
      <alignment horizontal="center"/>
    </xf>
    <xf numFmtId="0" fontId="0" fillId="3" borderId="15" xfId="0" applyFont="1" applyFill="1" applyBorder="1"/>
    <xf numFmtId="43" fontId="56" fillId="3" borderId="4" xfId="0" applyNumberFormat="1" applyFont="1" applyFill="1" applyBorder="1"/>
    <xf numFmtId="181" fontId="0" fillId="3" borderId="0" xfId="0" applyNumberFormat="1" applyFont="1" applyFill="1"/>
  </cellXfs>
  <cellStyles count="9">
    <cellStyle name="Comma" xfId="1" builtinId="3"/>
    <cellStyle name="Comma 2" xfId="5" xr:uid="{0C69DBF9-EB20-482B-8E73-5A9402AD1B98}"/>
    <cellStyle name="Comma 3" xfId="6" xr:uid="{E5E95F86-01A6-4034-A7E5-9523373A4E49}"/>
    <cellStyle name="Hyperlink" xfId="8" builtinId="8"/>
    <cellStyle name="Normal" xfId="0" builtinId="0"/>
    <cellStyle name="Normal 2" xfId="4" xr:uid="{FC8FA14B-5A36-4AF4-B85F-E76FB489CC35}"/>
    <cellStyle name="Normal 3 3" xfId="7" xr:uid="{593E0CC1-FAF4-4F0C-86F7-EDEB5834BB1B}"/>
    <cellStyle name="Percent" xfId="2" builtinId="5"/>
    <cellStyle name="Vírgula 2" xfId="3" xr:uid="{92787AC2-186F-4AB0-9502-BDE2A3CBF42D}"/>
  </cellStyles>
  <dxfs count="0"/>
  <tableStyles count="0" defaultTableStyle="TableStyleMedium2" defaultPivotStyle="PivotStyleLight16"/>
  <colors>
    <mruColors>
      <color rgb="FFF0F0D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Interest payment due</c:v>
          </c:tx>
          <c:spPr>
            <a:ln w="28575" cap="rnd">
              <a:solidFill>
                <a:schemeClr val="accent1"/>
              </a:solidFill>
              <a:round/>
            </a:ln>
            <a:effectLst/>
          </c:spPr>
          <c:marker>
            <c:symbol val="none"/>
          </c:marker>
          <c:cat>
            <c:numRef>
              <c:f>'Box 10'!$A$17:$A$46</c:f>
              <c:numCache>
                <c:formatCode>m/d/yyyy</c:formatCode>
                <c:ptCount val="30"/>
                <c:pt idx="0">
                  <c:v>44576</c:v>
                </c:pt>
                <c:pt idx="1">
                  <c:v>44757</c:v>
                </c:pt>
                <c:pt idx="2">
                  <c:v>44941</c:v>
                </c:pt>
                <c:pt idx="3">
                  <c:v>45122</c:v>
                </c:pt>
                <c:pt idx="4">
                  <c:v>45306</c:v>
                </c:pt>
                <c:pt idx="5">
                  <c:v>45488</c:v>
                </c:pt>
                <c:pt idx="6">
                  <c:v>45672</c:v>
                </c:pt>
                <c:pt idx="7">
                  <c:v>45853</c:v>
                </c:pt>
                <c:pt idx="8">
                  <c:v>46037</c:v>
                </c:pt>
                <c:pt idx="9">
                  <c:v>46218</c:v>
                </c:pt>
                <c:pt idx="10">
                  <c:v>46402</c:v>
                </c:pt>
                <c:pt idx="11">
                  <c:v>46583</c:v>
                </c:pt>
                <c:pt idx="12">
                  <c:v>46767</c:v>
                </c:pt>
                <c:pt idx="13">
                  <c:v>46949</c:v>
                </c:pt>
                <c:pt idx="14">
                  <c:v>47133</c:v>
                </c:pt>
                <c:pt idx="15">
                  <c:v>47314</c:v>
                </c:pt>
                <c:pt idx="16">
                  <c:v>47498</c:v>
                </c:pt>
                <c:pt idx="17">
                  <c:v>47679</c:v>
                </c:pt>
                <c:pt idx="18">
                  <c:v>47863</c:v>
                </c:pt>
                <c:pt idx="19">
                  <c:v>48044</c:v>
                </c:pt>
                <c:pt idx="20">
                  <c:v>48228</c:v>
                </c:pt>
                <c:pt idx="21">
                  <c:v>48410</c:v>
                </c:pt>
                <c:pt idx="22">
                  <c:v>48594</c:v>
                </c:pt>
                <c:pt idx="23">
                  <c:v>48775</c:v>
                </c:pt>
                <c:pt idx="24">
                  <c:v>48959</c:v>
                </c:pt>
                <c:pt idx="25">
                  <c:v>49140</c:v>
                </c:pt>
                <c:pt idx="26">
                  <c:v>49324</c:v>
                </c:pt>
                <c:pt idx="27">
                  <c:v>49505</c:v>
                </c:pt>
                <c:pt idx="28">
                  <c:v>49689</c:v>
                </c:pt>
                <c:pt idx="29">
                  <c:v>49871</c:v>
                </c:pt>
              </c:numCache>
            </c:numRef>
          </c:cat>
          <c:val>
            <c:numRef>
              <c:f>'Box 10'!$H$17:$H$46</c:f>
              <c:numCache>
                <c:formatCode>#,##0.00</c:formatCode>
                <c:ptCount val="30"/>
                <c:pt idx="0">
                  <c:v>5000</c:v>
                </c:pt>
                <c:pt idx="1">
                  <c:v>25138.89</c:v>
                </c:pt>
                <c:pt idx="2">
                  <c:v>25555.56</c:v>
                </c:pt>
                <c:pt idx="3">
                  <c:v>25138.89</c:v>
                </c:pt>
                <c:pt idx="4">
                  <c:v>25555.56</c:v>
                </c:pt>
                <c:pt idx="5">
                  <c:v>25277.78</c:v>
                </c:pt>
                <c:pt idx="6">
                  <c:v>25555.56</c:v>
                </c:pt>
                <c:pt idx="7">
                  <c:v>25138.89</c:v>
                </c:pt>
                <c:pt idx="8">
                  <c:v>25555.56</c:v>
                </c:pt>
                <c:pt idx="9">
                  <c:v>25138.89</c:v>
                </c:pt>
                <c:pt idx="10">
                  <c:v>25555.56</c:v>
                </c:pt>
                <c:pt idx="11">
                  <c:v>25138.89</c:v>
                </c:pt>
                <c:pt idx="12">
                  <c:v>25555.56</c:v>
                </c:pt>
                <c:pt idx="13">
                  <c:v>25277.78</c:v>
                </c:pt>
                <c:pt idx="14">
                  <c:v>25555.56</c:v>
                </c:pt>
                <c:pt idx="15">
                  <c:v>25138.89</c:v>
                </c:pt>
                <c:pt idx="16">
                  <c:v>25555.56</c:v>
                </c:pt>
                <c:pt idx="17">
                  <c:v>25138.89</c:v>
                </c:pt>
                <c:pt idx="18">
                  <c:v>25555.56</c:v>
                </c:pt>
                <c:pt idx="19">
                  <c:v>25138.89</c:v>
                </c:pt>
                <c:pt idx="20">
                  <c:v>25555.56</c:v>
                </c:pt>
                <c:pt idx="21">
                  <c:v>25277.78</c:v>
                </c:pt>
                <c:pt idx="22">
                  <c:v>25555.56</c:v>
                </c:pt>
                <c:pt idx="23">
                  <c:v>25138.89</c:v>
                </c:pt>
                <c:pt idx="24">
                  <c:v>25555.56</c:v>
                </c:pt>
                <c:pt idx="25">
                  <c:v>25138.89</c:v>
                </c:pt>
                <c:pt idx="26">
                  <c:v>25555.56</c:v>
                </c:pt>
                <c:pt idx="27">
                  <c:v>25138.89</c:v>
                </c:pt>
                <c:pt idx="28">
                  <c:v>25555.56</c:v>
                </c:pt>
                <c:pt idx="29">
                  <c:v>25277.78</c:v>
                </c:pt>
              </c:numCache>
            </c:numRef>
          </c:val>
          <c:smooth val="0"/>
          <c:extLst>
            <c:ext xmlns:c16="http://schemas.microsoft.com/office/drawing/2014/chart" uri="{C3380CC4-5D6E-409C-BE32-E72D297353CC}">
              <c16:uniqueId val="{00000000-9601-4C07-8071-078EDA9EE5E4}"/>
            </c:ext>
          </c:extLst>
        </c:ser>
        <c:ser>
          <c:idx val="1"/>
          <c:order val="1"/>
          <c:tx>
            <c:v>Interest Payment with wrong rounding criteria</c:v>
          </c:tx>
          <c:spPr>
            <a:ln w="28575" cap="rnd">
              <a:solidFill>
                <a:schemeClr val="accent2"/>
              </a:solidFill>
              <a:round/>
            </a:ln>
            <a:effectLst/>
          </c:spPr>
          <c:marker>
            <c:symbol val="none"/>
          </c:marker>
          <c:cat>
            <c:numRef>
              <c:f>'Box 10'!$A$17:$A$46</c:f>
              <c:numCache>
                <c:formatCode>m/d/yyyy</c:formatCode>
                <c:ptCount val="30"/>
                <c:pt idx="0">
                  <c:v>44576</c:v>
                </c:pt>
                <c:pt idx="1">
                  <c:v>44757</c:v>
                </c:pt>
                <c:pt idx="2">
                  <c:v>44941</c:v>
                </c:pt>
                <c:pt idx="3">
                  <c:v>45122</c:v>
                </c:pt>
                <c:pt idx="4">
                  <c:v>45306</c:v>
                </c:pt>
                <c:pt idx="5">
                  <c:v>45488</c:v>
                </c:pt>
                <c:pt idx="6">
                  <c:v>45672</c:v>
                </c:pt>
                <c:pt idx="7">
                  <c:v>45853</c:v>
                </c:pt>
                <c:pt idx="8">
                  <c:v>46037</c:v>
                </c:pt>
                <c:pt idx="9">
                  <c:v>46218</c:v>
                </c:pt>
                <c:pt idx="10">
                  <c:v>46402</c:v>
                </c:pt>
                <c:pt idx="11">
                  <c:v>46583</c:v>
                </c:pt>
                <c:pt idx="12">
                  <c:v>46767</c:v>
                </c:pt>
                <c:pt idx="13">
                  <c:v>46949</c:v>
                </c:pt>
                <c:pt idx="14">
                  <c:v>47133</c:v>
                </c:pt>
                <c:pt idx="15">
                  <c:v>47314</c:v>
                </c:pt>
                <c:pt idx="16">
                  <c:v>47498</c:v>
                </c:pt>
                <c:pt idx="17">
                  <c:v>47679</c:v>
                </c:pt>
                <c:pt idx="18">
                  <c:v>47863</c:v>
                </c:pt>
                <c:pt idx="19">
                  <c:v>48044</c:v>
                </c:pt>
                <c:pt idx="20">
                  <c:v>48228</c:v>
                </c:pt>
                <c:pt idx="21">
                  <c:v>48410</c:v>
                </c:pt>
                <c:pt idx="22">
                  <c:v>48594</c:v>
                </c:pt>
                <c:pt idx="23">
                  <c:v>48775</c:v>
                </c:pt>
                <c:pt idx="24">
                  <c:v>48959</c:v>
                </c:pt>
                <c:pt idx="25">
                  <c:v>49140</c:v>
                </c:pt>
                <c:pt idx="26">
                  <c:v>49324</c:v>
                </c:pt>
                <c:pt idx="27">
                  <c:v>49505</c:v>
                </c:pt>
                <c:pt idx="28">
                  <c:v>49689</c:v>
                </c:pt>
                <c:pt idx="29">
                  <c:v>49871</c:v>
                </c:pt>
              </c:numCache>
            </c:numRef>
          </c:cat>
          <c:val>
            <c:numRef>
              <c:f>'Box 10'!$R$17:$R$46</c:f>
              <c:numCache>
                <c:formatCode>#,##0.00</c:formatCode>
                <c:ptCount val="30"/>
                <c:pt idx="0">
                  <c:v>10000</c:v>
                </c:pt>
                <c:pt idx="1">
                  <c:v>30000</c:v>
                </c:pt>
                <c:pt idx="2">
                  <c:v>30000</c:v>
                </c:pt>
                <c:pt idx="3">
                  <c:v>30000</c:v>
                </c:pt>
                <c:pt idx="4">
                  <c:v>30000</c:v>
                </c:pt>
                <c:pt idx="5">
                  <c:v>30000</c:v>
                </c:pt>
                <c:pt idx="6">
                  <c:v>30000</c:v>
                </c:pt>
                <c:pt idx="7">
                  <c:v>30000</c:v>
                </c:pt>
                <c:pt idx="8">
                  <c:v>30000</c:v>
                </c:pt>
                <c:pt idx="9">
                  <c:v>30000</c:v>
                </c:pt>
                <c:pt idx="10">
                  <c:v>30000</c:v>
                </c:pt>
                <c:pt idx="11">
                  <c:v>30000</c:v>
                </c:pt>
                <c:pt idx="12">
                  <c:v>30000</c:v>
                </c:pt>
                <c:pt idx="13">
                  <c:v>30000</c:v>
                </c:pt>
                <c:pt idx="14">
                  <c:v>30000</c:v>
                </c:pt>
                <c:pt idx="15">
                  <c:v>30000</c:v>
                </c:pt>
                <c:pt idx="16">
                  <c:v>30000</c:v>
                </c:pt>
                <c:pt idx="17">
                  <c:v>30000</c:v>
                </c:pt>
                <c:pt idx="18">
                  <c:v>30000</c:v>
                </c:pt>
                <c:pt idx="19">
                  <c:v>30000</c:v>
                </c:pt>
                <c:pt idx="20">
                  <c:v>30000</c:v>
                </c:pt>
                <c:pt idx="21">
                  <c:v>30000</c:v>
                </c:pt>
                <c:pt idx="22">
                  <c:v>30000</c:v>
                </c:pt>
                <c:pt idx="23">
                  <c:v>30000</c:v>
                </c:pt>
                <c:pt idx="24">
                  <c:v>30000</c:v>
                </c:pt>
                <c:pt idx="25">
                  <c:v>30000</c:v>
                </c:pt>
                <c:pt idx="26">
                  <c:v>30000</c:v>
                </c:pt>
                <c:pt idx="27">
                  <c:v>30000</c:v>
                </c:pt>
                <c:pt idx="28">
                  <c:v>30000</c:v>
                </c:pt>
                <c:pt idx="29">
                  <c:v>30000</c:v>
                </c:pt>
              </c:numCache>
            </c:numRef>
          </c:val>
          <c:smooth val="0"/>
          <c:extLst>
            <c:ext xmlns:c16="http://schemas.microsoft.com/office/drawing/2014/chart" uri="{C3380CC4-5D6E-409C-BE32-E72D297353CC}">
              <c16:uniqueId val="{00000002-9601-4C07-8071-078EDA9EE5E4}"/>
            </c:ext>
          </c:extLst>
        </c:ser>
        <c:dLbls>
          <c:showLegendKey val="0"/>
          <c:showVal val="0"/>
          <c:showCatName val="0"/>
          <c:showSerName val="0"/>
          <c:showPercent val="0"/>
          <c:showBubbleSize val="0"/>
        </c:dLbls>
        <c:smooth val="0"/>
        <c:axId val="47425263"/>
        <c:axId val="47437743"/>
      </c:lineChart>
      <c:dateAx>
        <c:axId val="47425263"/>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437743"/>
        <c:crosses val="autoZero"/>
        <c:auto val="1"/>
        <c:lblOffset val="100"/>
        <c:baseTimeUnit val="months"/>
      </c:dateAx>
      <c:valAx>
        <c:axId val="4743774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42526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76200</xdr:colOff>
      <xdr:row>16</xdr:row>
      <xdr:rowOff>104775</xdr:rowOff>
    </xdr:from>
    <xdr:to>
      <xdr:col>4</xdr:col>
      <xdr:colOff>266700</xdr:colOff>
      <xdr:row>20</xdr:row>
      <xdr:rowOff>9525</xdr:rowOff>
    </xdr:to>
    <xdr:sp macro="" textlink="">
      <xdr:nvSpPr>
        <xdr:cNvPr id="2" name="Right Brace 1">
          <a:extLst>
            <a:ext uri="{FF2B5EF4-FFF2-40B4-BE49-F238E27FC236}">
              <a16:creationId xmlns:a16="http://schemas.microsoft.com/office/drawing/2014/main" id="{97E190AA-16D0-46B6-8B13-76663D7D9F3B}"/>
            </a:ext>
          </a:extLst>
        </xdr:cNvPr>
        <xdr:cNvSpPr/>
      </xdr:nvSpPr>
      <xdr:spPr>
        <a:xfrm>
          <a:off x="6134100" y="2460625"/>
          <a:ext cx="190500" cy="6413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4</xdr:col>
      <xdr:colOff>177800</xdr:colOff>
      <xdr:row>30</xdr:row>
      <xdr:rowOff>63500</xdr:rowOff>
    </xdr:from>
    <xdr:to>
      <xdr:col>4</xdr:col>
      <xdr:colOff>295275</xdr:colOff>
      <xdr:row>36</xdr:row>
      <xdr:rowOff>85725</xdr:rowOff>
    </xdr:to>
    <xdr:sp macro="" textlink="">
      <xdr:nvSpPr>
        <xdr:cNvPr id="3" name="Right Brace 2">
          <a:extLst>
            <a:ext uri="{FF2B5EF4-FFF2-40B4-BE49-F238E27FC236}">
              <a16:creationId xmlns:a16="http://schemas.microsoft.com/office/drawing/2014/main" id="{371E4F98-CC4F-484D-9B8D-0469884C8A54}"/>
            </a:ext>
          </a:extLst>
        </xdr:cNvPr>
        <xdr:cNvSpPr/>
      </xdr:nvSpPr>
      <xdr:spPr>
        <a:xfrm>
          <a:off x="6235700" y="4997450"/>
          <a:ext cx="117475" cy="1127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142875</xdr:colOff>
      <xdr:row>12</xdr:row>
      <xdr:rowOff>95250</xdr:rowOff>
    </xdr:from>
    <xdr:to>
      <xdr:col>4</xdr:col>
      <xdr:colOff>234950</xdr:colOff>
      <xdr:row>22</xdr:row>
      <xdr:rowOff>152400</xdr:rowOff>
    </xdr:to>
    <xdr:sp macro="" textlink="">
      <xdr:nvSpPr>
        <xdr:cNvPr id="2" name="Right Brace 1">
          <a:extLst>
            <a:ext uri="{FF2B5EF4-FFF2-40B4-BE49-F238E27FC236}">
              <a16:creationId xmlns:a16="http://schemas.microsoft.com/office/drawing/2014/main" id="{31C5DD74-5F42-4595-9230-B962913CAAB1}"/>
            </a:ext>
          </a:extLst>
        </xdr:cNvPr>
        <xdr:cNvSpPr/>
      </xdr:nvSpPr>
      <xdr:spPr>
        <a:xfrm>
          <a:off x="6257925" y="1898650"/>
          <a:ext cx="92075" cy="18986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76199</xdr:colOff>
      <xdr:row>17</xdr:row>
      <xdr:rowOff>101600</xdr:rowOff>
    </xdr:from>
    <xdr:to>
      <xdr:col>6</xdr:col>
      <xdr:colOff>295274</xdr:colOff>
      <xdr:row>21</xdr:row>
      <xdr:rowOff>152400</xdr:rowOff>
    </xdr:to>
    <xdr:sp macro="" textlink="">
      <xdr:nvSpPr>
        <xdr:cNvPr id="2" name="Right Brace 1">
          <a:extLst>
            <a:ext uri="{FF2B5EF4-FFF2-40B4-BE49-F238E27FC236}">
              <a16:creationId xmlns:a16="http://schemas.microsoft.com/office/drawing/2014/main" id="{B19C8E5E-38A2-43C6-9EC8-B237276BE38F}"/>
            </a:ext>
          </a:extLst>
        </xdr:cNvPr>
        <xdr:cNvSpPr/>
      </xdr:nvSpPr>
      <xdr:spPr>
        <a:xfrm>
          <a:off x="8972549" y="2101850"/>
          <a:ext cx="219075" cy="7747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6</xdr:col>
      <xdr:colOff>82550</xdr:colOff>
      <xdr:row>22</xdr:row>
      <xdr:rowOff>66675</xdr:rowOff>
    </xdr:from>
    <xdr:to>
      <xdr:col>6</xdr:col>
      <xdr:colOff>295275</xdr:colOff>
      <xdr:row>25</xdr:row>
      <xdr:rowOff>104775</xdr:rowOff>
    </xdr:to>
    <xdr:sp macro="" textlink="">
      <xdr:nvSpPr>
        <xdr:cNvPr id="3" name="Right Brace 2">
          <a:extLst>
            <a:ext uri="{FF2B5EF4-FFF2-40B4-BE49-F238E27FC236}">
              <a16:creationId xmlns:a16="http://schemas.microsoft.com/office/drawing/2014/main" id="{226AEC5B-BC56-429E-B940-ABF91A61FD55}"/>
            </a:ext>
          </a:extLst>
        </xdr:cNvPr>
        <xdr:cNvSpPr/>
      </xdr:nvSpPr>
      <xdr:spPr>
        <a:xfrm>
          <a:off x="8978900" y="2971800"/>
          <a:ext cx="212725" cy="5810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6</xdr:col>
      <xdr:colOff>92076</xdr:colOff>
      <xdr:row>25</xdr:row>
      <xdr:rowOff>120651</xdr:rowOff>
    </xdr:from>
    <xdr:to>
      <xdr:col>6</xdr:col>
      <xdr:colOff>238126</xdr:colOff>
      <xdr:row>26</xdr:row>
      <xdr:rowOff>123826</xdr:rowOff>
    </xdr:to>
    <xdr:sp macro="" textlink="">
      <xdr:nvSpPr>
        <xdr:cNvPr id="4" name="Right Brace 3">
          <a:extLst>
            <a:ext uri="{FF2B5EF4-FFF2-40B4-BE49-F238E27FC236}">
              <a16:creationId xmlns:a16="http://schemas.microsoft.com/office/drawing/2014/main" id="{11CF3F9E-8B82-4C08-A2B4-3D5C9243611A}"/>
            </a:ext>
          </a:extLst>
        </xdr:cNvPr>
        <xdr:cNvSpPr/>
      </xdr:nvSpPr>
      <xdr:spPr>
        <a:xfrm>
          <a:off x="8988426" y="3568701"/>
          <a:ext cx="146050" cy="1841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3810</xdr:colOff>
      <xdr:row>17</xdr:row>
      <xdr:rowOff>147955</xdr:rowOff>
    </xdr:to>
    <xdr:sp macro="" textlink="">
      <xdr:nvSpPr>
        <xdr:cNvPr id="2" name="Text Box 2">
          <a:extLst>
            <a:ext uri="{FF2B5EF4-FFF2-40B4-BE49-F238E27FC236}">
              <a16:creationId xmlns:a16="http://schemas.microsoft.com/office/drawing/2014/main" id="{B5382B7B-04D6-4EC3-BFA3-F44109513E99}"/>
            </a:ext>
          </a:extLst>
        </xdr:cNvPr>
        <xdr:cNvSpPr txBox="1">
          <a:spLocks noChangeArrowheads="1"/>
        </xdr:cNvSpPr>
      </xdr:nvSpPr>
      <xdr:spPr bwMode="auto">
        <a:xfrm>
          <a:off x="0" y="0"/>
          <a:ext cx="6099810" cy="286258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000">
              <a:effectLst/>
              <a:latin typeface="Calibri" panose="020F0502020204030204" pitchFamily="34" charset="0"/>
              <a:ea typeface="Calibri" panose="020F0502020204030204" pitchFamily="34" charset="0"/>
              <a:cs typeface="Arial" panose="020B0604020202020204" pitchFamily="34" charset="0"/>
            </a:rPr>
            <a:t>By mid-2022 the Bhutanese DMO noticed that the day count convention described in the Mangdechhu hydroelectric project loan could be interpreted as Actual Days or DC/365, the latter being the traditional standard used by the Government of India (GoI), the single creditor.</a:t>
          </a:r>
          <a:endParaRPr lang="en-US" sz="110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r>
            <a:rPr lang="en-US" sz="1000">
              <a:effectLst/>
              <a:latin typeface="Calibri" panose="020F0502020204030204" pitchFamily="34" charset="0"/>
              <a:ea typeface="Calibri" panose="020F0502020204030204" pitchFamily="34" charset="0"/>
              <a:cs typeface="Arial" panose="020B0604020202020204" pitchFamily="34" charset="0"/>
            </a:rPr>
            <a:t>The INR 35.1 billion (USD 790 million) loan was signed in April 2010 the repayment would start only in January 2021.  All disbursement was executed before the first amortization date.  The amortization schedule would be constant (CAS) in 34 semi-annual installments, and the interest rate would be 10% p.a. (simple interest method), and the day count convention was actual days.</a:t>
          </a:r>
          <a:endParaRPr lang="en-US" sz="110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r>
            <a:rPr lang="en-US" sz="1000">
              <a:effectLst/>
              <a:latin typeface="Calibri" panose="020F0502020204030204" pitchFamily="34" charset="0"/>
              <a:ea typeface="Calibri" panose="020F0502020204030204" pitchFamily="34" charset="0"/>
              <a:cs typeface="Arial" panose="020B0604020202020204" pitchFamily="34" charset="0"/>
            </a:rPr>
            <a:t>The authorities estimated interest payments for the full loan cycle using both standards and found a difference of INR 4.8 million or 2 basis points over the overall DOD, which could cause a discrepancy between their controls and the invoices they receive from the creditor.  </a:t>
          </a:r>
          <a:endParaRPr lang="en-US" sz="110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r>
            <a:rPr lang="en-US" sz="1000">
              <a:effectLst/>
              <a:latin typeface="Calibri" panose="020F0502020204030204" pitchFamily="34" charset="0"/>
              <a:ea typeface="Calibri" panose="020F0502020204030204" pitchFamily="34" charset="0"/>
              <a:cs typeface="Arial" panose="020B0604020202020204" pitchFamily="34" charset="0"/>
            </a:rPr>
            <a:t>Although the notional amount is relatively small compared to the stock, the staff needs to ensure that debt records and payments are precise, otherwise the records could be subject to audit recommendations.</a:t>
          </a:r>
          <a:endParaRPr lang="en-US" sz="1100">
            <a:effectLst/>
            <a:latin typeface="Calibri" panose="020F050202020403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r>
            <a:rPr lang="en-US" sz="1000">
              <a:effectLst/>
              <a:latin typeface="Calibri" panose="020F0502020204030204" pitchFamily="34" charset="0"/>
              <a:ea typeface="Calibri" panose="020F0502020204030204" pitchFamily="34" charset="0"/>
              <a:cs typeface="Arial" panose="020B0604020202020204" pitchFamily="34" charset="0"/>
            </a:rPr>
            <a:t>This is a positive example where the authorities in the Bhutanese Debt Management Unit (within the MoF) have been diligent while monitoring the portfolio’s debt instruments.</a:t>
          </a:r>
          <a:endParaRPr lang="en-US" sz="1100">
            <a:effectLst/>
            <a:latin typeface="Calibri" panose="020F0502020204030204" pitchFamily="34" charset="0"/>
            <a:ea typeface="Calibri" panose="020F050202020403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431424</xdr:colOff>
      <xdr:row>12</xdr:row>
      <xdr:rowOff>124383</xdr:rowOff>
    </xdr:from>
    <xdr:to>
      <xdr:col>30</xdr:col>
      <xdr:colOff>313763</xdr:colOff>
      <xdr:row>33</xdr:row>
      <xdr:rowOff>67234</xdr:rowOff>
    </xdr:to>
    <xdr:graphicFrame macro="">
      <xdr:nvGraphicFramePr>
        <xdr:cNvPr id="2" name="Chart 1">
          <a:extLst>
            <a:ext uri="{FF2B5EF4-FFF2-40B4-BE49-F238E27FC236}">
              <a16:creationId xmlns:a16="http://schemas.microsoft.com/office/drawing/2014/main" id="{ED3A3668-7CC2-44DE-977E-D458CECC6F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MPRESAS/Ouro%20Fino%20Sa&#250;de%20Animal%20Ltda/GRAT/2022%20CI%20DECISS%20005/CI%20DECISS%202022-0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wrei/Documents/GRAT/Canal%20Azul%20Produ&#231;&#245;es%20Culturais/CI%20DECOS%202021-022vTrab%20com%20projeca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MPRESAS/Estado%20do%20Acre/GRAT/2021%20CI%20DEGEP%20008/modelo%20-%20CI%20DEGEST%202019-0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MPRESAS/Mavira%20Participa&#231;&#245;es%20Ltda/GRAT/CI%20DECOS%202021-023/CI%20DECOS%202021-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ético"/>
      <sheetName val="011"/>
      <sheetName val="011 Dev"/>
      <sheetName val="020"/>
      <sheetName val="020 Dev"/>
      <sheetName val="038"/>
      <sheetName val="038 Dev"/>
      <sheetName val="054"/>
      <sheetName val="054 Dev"/>
      <sheetName val="062"/>
      <sheetName val="062 Dev"/>
      <sheetName val="Feriado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ético"/>
      <sheetName val="16203101010"/>
      <sheetName val="Projeção SELIC"/>
      <sheetName val="Selic Projeção"/>
      <sheetName val="Feriado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ético"/>
      <sheetName val="019"/>
      <sheetName val="019 Dev 1"/>
      <sheetName val="019 Dev 2"/>
      <sheetName val="019 Dev 3"/>
      <sheetName val="027"/>
      <sheetName val="027 Dev 1"/>
      <sheetName val="027 Dev 2"/>
      <sheetName val="027 Dev 3"/>
      <sheetName val="027 Dev 4"/>
      <sheetName val="027 Dev 5"/>
      <sheetName val="Dias Útei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ético"/>
      <sheetName val="SUB A"/>
      <sheetName val="SUB B"/>
      <sheetName val="SELIC"/>
      <sheetName val="FERIADO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99DC-1245-4C50-B86D-8718AC36F398}">
  <sheetPr>
    <tabColor rgb="FFFFFF00"/>
  </sheetPr>
  <dimension ref="A1:B47"/>
  <sheetViews>
    <sheetView tabSelected="1" topLeftCell="A15" workbookViewId="0">
      <selection activeCell="A31" sqref="A31"/>
    </sheetView>
  </sheetViews>
  <sheetFormatPr defaultRowHeight="14.5"/>
  <cols>
    <col min="1" max="1" width="163.90625" style="6" customWidth="1"/>
    <col min="2" max="2" width="8.7265625" style="172"/>
  </cols>
  <sheetData>
    <row r="1" spans="1:2">
      <c r="A1" s="14"/>
    </row>
    <row r="2" spans="1:2" ht="23.5">
      <c r="A2" s="454" t="s">
        <v>210</v>
      </c>
    </row>
    <row r="3" spans="1:2" ht="23.5">
      <c r="A3" s="454" t="s">
        <v>207</v>
      </c>
    </row>
    <row r="4" spans="1:2">
      <c r="A4" s="14"/>
    </row>
    <row r="5" spans="1:2" s="6" customFormat="1">
      <c r="A5" s="455" t="s">
        <v>208</v>
      </c>
      <c r="B5" s="172"/>
    </row>
    <row r="6" spans="1:2" s="6" customFormat="1">
      <c r="A6" s="456" t="s">
        <v>209</v>
      </c>
      <c r="B6" s="172"/>
    </row>
    <row r="7" spans="1:2" s="6" customFormat="1" ht="15" thickBot="1">
      <c r="A7" s="456"/>
      <c r="B7" s="172"/>
    </row>
    <row r="8" spans="1:2" s="6" customFormat="1" ht="59" thickTop="1" thickBot="1">
      <c r="A8" s="660" t="s">
        <v>230</v>
      </c>
      <c r="B8" s="172"/>
    </row>
    <row r="9" spans="1:2" s="6" customFormat="1" ht="15" thickTop="1">
      <c r="A9" s="456"/>
      <c r="B9" s="172"/>
    </row>
    <row r="10" spans="1:2" s="6" customFormat="1">
      <c r="A10" s="456"/>
      <c r="B10" s="172"/>
    </row>
    <row r="11" spans="1:2" s="6" customFormat="1">
      <c r="A11" s="456"/>
      <c r="B11" s="172"/>
    </row>
    <row r="12" spans="1:2" s="6" customFormat="1">
      <c r="A12" s="456"/>
      <c r="B12" s="172"/>
    </row>
    <row r="13" spans="1:2" s="6" customFormat="1">
      <c r="A13" s="456"/>
      <c r="B13" s="172"/>
    </row>
    <row r="14" spans="1:2">
      <c r="A14" s="14"/>
      <c r="B14" s="172" t="s">
        <v>225</v>
      </c>
    </row>
    <row r="15" spans="1:2">
      <c r="A15" s="658" t="s">
        <v>211</v>
      </c>
      <c r="B15" s="172">
        <v>51</v>
      </c>
    </row>
    <row r="16" spans="1:2">
      <c r="A16" s="457" t="s">
        <v>212</v>
      </c>
      <c r="B16" s="172">
        <v>52</v>
      </c>
    </row>
    <row r="17" spans="1:2">
      <c r="A17" s="457" t="s">
        <v>213</v>
      </c>
      <c r="B17" s="172">
        <v>53</v>
      </c>
    </row>
    <row r="18" spans="1:2">
      <c r="A18" s="658" t="s">
        <v>228</v>
      </c>
      <c r="B18" s="172">
        <v>54</v>
      </c>
    </row>
    <row r="19" spans="1:2">
      <c r="A19" s="457" t="s">
        <v>214</v>
      </c>
      <c r="B19" s="172">
        <v>55</v>
      </c>
    </row>
    <row r="20" spans="1:2">
      <c r="A20" s="457" t="s">
        <v>215</v>
      </c>
      <c r="B20" s="172">
        <v>56</v>
      </c>
    </row>
    <row r="21" spans="1:2">
      <c r="A21" s="457" t="s">
        <v>216</v>
      </c>
      <c r="B21" s="172">
        <v>57</v>
      </c>
    </row>
    <row r="22" spans="1:2">
      <c r="A22" s="457" t="s">
        <v>217</v>
      </c>
      <c r="B22" s="172">
        <v>57</v>
      </c>
    </row>
    <row r="23" spans="1:2">
      <c r="A23" s="457" t="s">
        <v>218</v>
      </c>
      <c r="B23" s="172">
        <v>58</v>
      </c>
    </row>
    <row r="24" spans="1:2">
      <c r="A24" s="457" t="s">
        <v>219</v>
      </c>
      <c r="B24" s="172">
        <v>59</v>
      </c>
    </row>
    <row r="25" spans="1:2">
      <c r="A25" s="457" t="s">
        <v>220</v>
      </c>
      <c r="B25" s="172">
        <v>60</v>
      </c>
    </row>
    <row r="26" spans="1:2">
      <c r="A26" s="457" t="s">
        <v>221</v>
      </c>
      <c r="B26" s="172">
        <v>61</v>
      </c>
    </row>
    <row r="27" spans="1:2">
      <c r="A27" s="457" t="s">
        <v>222</v>
      </c>
      <c r="B27" s="172">
        <v>62</v>
      </c>
    </row>
    <row r="28" spans="1:2">
      <c r="A28" s="457" t="s">
        <v>223</v>
      </c>
      <c r="B28" s="172">
        <v>63</v>
      </c>
    </row>
    <row r="29" spans="1:2">
      <c r="A29" s="457" t="s">
        <v>224</v>
      </c>
      <c r="B29" s="172">
        <v>64</v>
      </c>
    </row>
    <row r="30" spans="1:2">
      <c r="A30" s="14"/>
    </row>
    <row r="31" spans="1:2">
      <c r="A31" s="14"/>
    </row>
    <row r="32" spans="1:2">
      <c r="A32" s="14"/>
    </row>
    <row r="33" spans="1:1">
      <c r="A33" s="14"/>
    </row>
    <row r="34" spans="1:1">
      <c r="A34" s="14"/>
    </row>
    <row r="35" spans="1:1">
      <c r="A35" s="14"/>
    </row>
    <row r="36" spans="1:1">
      <c r="A36" s="14"/>
    </row>
    <row r="37" spans="1:1">
      <c r="A37" s="14"/>
    </row>
    <row r="38" spans="1:1">
      <c r="A38" s="14"/>
    </row>
    <row r="39" spans="1:1">
      <c r="A39" s="14"/>
    </row>
    <row r="40" spans="1:1">
      <c r="A40" s="14"/>
    </row>
    <row r="41" spans="1:1">
      <c r="A41" s="14"/>
    </row>
    <row r="42" spans="1:1">
      <c r="A42" s="14"/>
    </row>
    <row r="43" spans="1:1">
      <c r="A43" s="14"/>
    </row>
    <row r="44" spans="1:1">
      <c r="A44" s="14"/>
    </row>
    <row r="45" spans="1:1">
      <c r="A45" s="14"/>
    </row>
    <row r="46" spans="1:1">
      <c r="A46" s="14"/>
    </row>
    <row r="47" spans="1:1">
      <c r="A47" s="14"/>
    </row>
  </sheetData>
  <hyperlinks>
    <hyperlink ref="A16" location="'Box 2'!A1" display="Box 2 – Example of CAS with 2 Planned Amortization Lines" xr:uid="{A165239B-CCE6-44CA-BBDA-BE12BF49EE62}"/>
    <hyperlink ref="A17" location="'Box 3'!A1" display="Box 3 – Example of CAS with a Disbursement during the Amortization Phase" xr:uid="{2F683C1A-0760-4AFF-BB65-70ECB83D1E7A}"/>
    <hyperlink ref="A19" location="'Box 5'!A1" display="Box 5 – Cash Flow of a PRICE Loan with a Disbursement" xr:uid="{FA946E69-4814-45FF-9860-B9EB70FFD839}"/>
    <hyperlink ref="A20" location="'Box 6'!A1" display="Box 6 – Changing DOD and Variable Interest Rate – Detailed Cash Flow" xr:uid="{21800742-BC40-43AA-8681-ACB22BD78930}"/>
    <hyperlink ref="A21" location="'Box 7'!A1" display="Box 7 – Disbursement During the Amortization Phase and Variable Interest Rate" xr:uid="{127DA81A-C880-4144-86B8-B6EA2D7AA227}"/>
    <hyperlink ref="A22" location="'Box 8'!A1" display="Box 8 – The Effect of Day Count Convention – The case of Bhutan" xr:uid="{E725015A-1B88-4ADF-BB46-1F5628541C7B}"/>
    <hyperlink ref="A23" location="'Box 9'!A1" display="Box 9 – Effect of the Invoice Cut-Off date - Constant DOD and Fixed Interest Rate" xr:uid="{5230BF44-C5DB-4D3B-BEBA-D8D06FAAF089}"/>
    <hyperlink ref="A24" location="'Box 10'!A1" display="Box 10 – Effect of Truncation Rules - Constant DOD and Fixed Interest Rate Cash Flow" xr:uid="{212E0541-607C-493A-9BC1-5AC2EBACF021}"/>
    <hyperlink ref="A25" location="'Box 11'!A1" display="Box 11 – Currency Conversion Cash Flow" xr:uid="{0206B13B-1F79-4286-BCFF-43E4D26783F6}"/>
    <hyperlink ref="A26" location="'Box 12'!A1" display="Box 12 – Indexed DOD Cash Flow" xr:uid="{1E7CCA2B-277F-4056-AF1F-4F2EEE1B3671}"/>
    <hyperlink ref="A27" location="'Box 13'!A1" display="Box 13 – SOFR Indexed Cash flow" xr:uid="{3831201C-BCB4-4491-80CE-1F464633B314}"/>
    <hyperlink ref="A28" location="'Box 14'!A1" display="Box 14 – Cash Flow for IBRD SOFR Loan" xr:uid="{41CEB20C-6DAE-45F1-ABBA-160465D71C16}"/>
    <hyperlink ref="A29" location="'Box 15'!A1" display="Box 15 – Debt Suspension: Interest Accruals Integrated in the DOD" xr:uid="{FA9A2647-7B67-42D0-9EED-CA12C54C9A59}"/>
    <hyperlink ref="A18" location="'Box 4'!A1" display="Box 4 – Detailed PAS cash flow" xr:uid="{4A0770F4-8FC0-4E4C-8BBE-86F58E744564}"/>
    <hyperlink ref="A15" location="'Box 1'!A1" display="Box 1 – Using Multiple Tranches to Represent a Cash Flow of a Fixed Rate Loan" xr:uid="{2DA1F2EC-BAD6-4E9E-8A8B-63E0D5E74D26}"/>
  </hyperlinks>
  <pageMargins left="0.511811024" right="0.511811024" top="0.78740157499999996" bottom="0.78740157499999996" header="0.31496062000000002" footer="0.31496062000000002"/>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A79F4-BF68-4739-92A7-B2790B2B65F2}">
  <sheetPr>
    <tabColor theme="7" tint="0.39997558519241921"/>
  </sheetPr>
  <dimension ref="A1:O23"/>
  <sheetViews>
    <sheetView zoomScaleNormal="100" workbookViewId="0">
      <selection activeCell="A10" sqref="A10"/>
    </sheetView>
  </sheetViews>
  <sheetFormatPr defaultRowHeight="14.5"/>
  <cols>
    <col min="1" max="1" width="37.453125" style="458" bestFit="1" customWidth="1"/>
    <col min="2" max="2" width="20.1796875" style="458" bestFit="1" customWidth="1"/>
    <col min="3" max="3" width="12.54296875" style="458" customWidth="1"/>
    <col min="4" max="4" width="19.1796875" style="458" customWidth="1"/>
    <col min="5" max="5" width="13.453125" style="458" bestFit="1" customWidth="1"/>
    <col min="6" max="6" width="14.7265625" style="458" customWidth="1"/>
    <col min="7" max="7" width="18.453125" style="458" customWidth="1"/>
    <col min="8" max="8" width="15.81640625" style="458" customWidth="1"/>
    <col min="9" max="9" width="2.1796875" style="458" customWidth="1"/>
    <col min="10" max="16384" width="8.7265625" style="458"/>
  </cols>
  <sheetData>
    <row r="1" spans="1:15">
      <c r="A1" s="524" t="s">
        <v>218</v>
      </c>
      <c r="B1" s="460"/>
      <c r="C1" s="460"/>
      <c r="D1" s="460"/>
      <c r="E1" s="460"/>
      <c r="F1" s="460"/>
      <c r="G1" s="460"/>
      <c r="H1" s="460"/>
    </row>
    <row r="2" spans="1:15">
      <c r="A2" s="25"/>
      <c r="B2" s="127"/>
      <c r="C2" s="127"/>
      <c r="D2" s="127"/>
      <c r="E2" s="127"/>
      <c r="F2" s="127"/>
      <c r="G2" s="127"/>
      <c r="H2" s="127"/>
    </row>
    <row r="3" spans="1:15">
      <c r="A3" s="94" t="s">
        <v>0</v>
      </c>
      <c r="B3" s="95"/>
      <c r="C3" s="96"/>
      <c r="D3" s="84"/>
      <c r="E3" s="83"/>
      <c r="F3" s="127"/>
      <c r="G3" s="127"/>
      <c r="H3" s="127"/>
    </row>
    <row r="4" spans="1:15">
      <c r="A4" s="135" t="s">
        <v>1</v>
      </c>
      <c r="B4" s="98">
        <v>0.05</v>
      </c>
      <c r="C4" s="93"/>
      <c r="D4" s="127"/>
      <c r="E4" s="127"/>
      <c r="F4" s="127"/>
      <c r="G4" s="127"/>
      <c r="H4" s="127"/>
    </row>
    <row r="5" spans="1:15">
      <c r="A5" s="135" t="s">
        <v>2</v>
      </c>
      <c r="B5" s="99">
        <v>44576</v>
      </c>
      <c r="C5" s="127"/>
      <c r="D5" s="137" t="s">
        <v>3</v>
      </c>
      <c r="E5" s="138" t="s">
        <v>4</v>
      </c>
      <c r="F5" s="138" t="s">
        <v>5</v>
      </c>
      <c r="G5" s="127"/>
      <c r="H5" s="127"/>
    </row>
    <row r="6" spans="1:15">
      <c r="A6" s="149" t="s">
        <v>102</v>
      </c>
      <c r="B6" s="150">
        <v>1</v>
      </c>
      <c r="C6" s="123"/>
      <c r="D6" s="85" t="s">
        <v>6</v>
      </c>
      <c r="E6" s="124">
        <v>44550</v>
      </c>
      <c r="F6" s="125">
        <v>1000000</v>
      </c>
      <c r="G6" s="126"/>
      <c r="H6" s="127"/>
    </row>
    <row r="7" spans="1:15">
      <c r="A7" s="135" t="s">
        <v>7</v>
      </c>
      <c r="B7" s="77">
        <v>6</v>
      </c>
      <c r="C7" s="127"/>
      <c r="D7" s="371" t="s">
        <v>43</v>
      </c>
      <c r="E7" s="371"/>
      <c r="F7" s="372">
        <f>F6</f>
        <v>1000000</v>
      </c>
      <c r="G7" s="127"/>
      <c r="H7" s="127"/>
    </row>
    <row r="8" spans="1:15" ht="15" customHeight="1">
      <c r="A8" s="135" t="s">
        <v>8</v>
      </c>
      <c r="B8" s="78">
        <v>360</v>
      </c>
      <c r="C8" s="127"/>
      <c r="D8" s="127"/>
      <c r="E8" s="127"/>
      <c r="F8" s="127"/>
      <c r="G8" s="127"/>
      <c r="H8" s="127"/>
    </row>
    <row r="9" spans="1:15" ht="17.149999999999999" customHeight="1">
      <c r="A9" s="135" t="s">
        <v>28</v>
      </c>
      <c r="B9" s="77">
        <v>16</v>
      </c>
      <c r="C9" s="127"/>
      <c r="D9" s="127"/>
      <c r="E9" s="127"/>
      <c r="F9" s="127"/>
      <c r="G9" s="127"/>
      <c r="H9" s="127"/>
      <c r="J9" s="665" t="s">
        <v>103</v>
      </c>
      <c r="K9" s="617"/>
      <c r="L9" s="617"/>
      <c r="M9" s="617"/>
      <c r="N9" s="617"/>
      <c r="O9" s="617"/>
    </row>
    <row r="10" spans="1:15" ht="17.5" customHeight="1">
      <c r="A10" s="135" t="s">
        <v>29</v>
      </c>
      <c r="B10" s="77">
        <v>2</v>
      </c>
      <c r="C10" s="127"/>
      <c r="D10" s="127"/>
      <c r="E10" s="127"/>
      <c r="F10" s="127"/>
      <c r="G10" s="127"/>
      <c r="H10" s="127"/>
      <c r="J10" s="153">
        <f>G19/B16</f>
        <v>3.6111100000000003E-3</v>
      </c>
      <c r="K10" s="153" t="s">
        <v>104</v>
      </c>
      <c r="L10" s="153"/>
      <c r="M10" s="153"/>
    </row>
    <row r="11" spans="1:15">
      <c r="A11" s="136" t="s">
        <v>11</v>
      </c>
      <c r="B11" s="97" t="s">
        <v>12</v>
      </c>
      <c r="C11" s="127"/>
      <c r="D11" s="127"/>
      <c r="E11" s="127"/>
      <c r="F11" s="127"/>
      <c r="G11" s="127"/>
      <c r="H11" s="127"/>
      <c r="J11" s="633">
        <v>1.4E-2</v>
      </c>
      <c r="K11" s="634" t="s">
        <v>105</v>
      </c>
      <c r="L11" s="634"/>
      <c r="M11" s="634"/>
    </row>
    <row r="12" spans="1:15">
      <c r="A12" s="127"/>
      <c r="B12" s="127"/>
      <c r="C12" s="127"/>
      <c r="D12" s="127"/>
      <c r="E12" s="127"/>
      <c r="F12" s="127"/>
      <c r="G12" s="127"/>
      <c r="H12" s="127"/>
      <c r="I12" s="460"/>
    </row>
    <row r="13" spans="1:15">
      <c r="A13" s="127"/>
      <c r="B13" s="127"/>
      <c r="C13" s="131"/>
      <c r="D13" s="127"/>
      <c r="E13" s="127"/>
      <c r="F13" s="127"/>
      <c r="G13" s="127"/>
      <c r="H13" s="127"/>
      <c r="I13" s="460"/>
    </row>
    <row r="14" spans="1:15" s="636" customFormat="1" ht="31" customHeight="1">
      <c r="A14" s="111" t="s">
        <v>17</v>
      </c>
      <c r="B14" s="111" t="s">
        <v>18</v>
      </c>
      <c r="C14" s="111" t="s">
        <v>19</v>
      </c>
      <c r="D14" s="111" t="s">
        <v>20</v>
      </c>
      <c r="E14" s="112" t="s">
        <v>21</v>
      </c>
      <c r="F14" s="111" t="s">
        <v>22</v>
      </c>
      <c r="G14" s="111" t="s">
        <v>23</v>
      </c>
      <c r="H14" s="111" t="s">
        <v>24</v>
      </c>
      <c r="I14" s="635"/>
    </row>
    <row r="15" spans="1:15" ht="29">
      <c r="A15" s="122">
        <f>EDATE(A18,-1)</f>
        <v>44545</v>
      </c>
      <c r="B15" s="121" t="s">
        <v>30</v>
      </c>
      <c r="C15" s="121"/>
      <c r="D15" s="121"/>
      <c r="E15" s="121"/>
      <c r="F15" s="121"/>
      <c r="G15" s="121"/>
      <c r="H15" s="121"/>
      <c r="I15" s="460"/>
    </row>
    <row r="16" spans="1:15">
      <c r="A16" s="132">
        <f>E6</f>
        <v>44550</v>
      </c>
      <c r="B16" s="133">
        <f>F6</f>
        <v>1000000</v>
      </c>
      <c r="C16" s="134"/>
      <c r="D16" s="134">
        <f>ROUND(C16/$B$8,$B$9)</f>
        <v>0</v>
      </c>
      <c r="E16" s="134">
        <f>ROUND(D16*$B$4,B9)</f>
        <v>0</v>
      </c>
      <c r="F16" s="134">
        <f>ROUND(E16*B16,2)</f>
        <v>0</v>
      </c>
      <c r="G16" s="134"/>
      <c r="H16" s="134"/>
      <c r="I16" s="460"/>
    </row>
    <row r="17" spans="1:9" ht="26.15" customHeight="1">
      <c r="A17" s="113">
        <f>A18</f>
        <v>44576</v>
      </c>
      <c r="B17" s="114"/>
      <c r="C17" s="101">
        <f>A17-A16</f>
        <v>26</v>
      </c>
      <c r="D17" s="101">
        <f>C17/$B$8</f>
        <v>7.2222222222222215E-2</v>
      </c>
      <c r="E17" s="101">
        <f>ROUND(D17*$B$4,$B$9)</f>
        <v>3.6111111111111001E-3</v>
      </c>
      <c r="F17" s="114">
        <f>ROUND(E17*B16,$B$10)</f>
        <v>3611.11</v>
      </c>
      <c r="G17" s="664" t="s">
        <v>106</v>
      </c>
      <c r="H17" s="664"/>
      <c r="I17" s="460"/>
    </row>
    <row r="18" spans="1:9">
      <c r="A18" s="115">
        <f>B5</f>
        <v>44576</v>
      </c>
      <c r="B18" s="116">
        <f>B16</f>
        <v>1000000</v>
      </c>
      <c r="C18" s="117">
        <v>0</v>
      </c>
      <c r="D18" s="117">
        <f t="shared" ref="D18:D21" si="0">C18/$B$8</f>
        <v>0</v>
      </c>
      <c r="E18" s="117">
        <f t="shared" ref="E18:E21" si="1">ROUND(D18*$B$4,$B$9)</f>
        <v>0</v>
      </c>
      <c r="F18" s="117">
        <f t="shared" ref="F18:F21" si="2">ROUND(E18*B17,$B$10)</f>
        <v>0</v>
      </c>
      <c r="G18" s="117">
        <v>0</v>
      </c>
      <c r="H18" s="118" t="s">
        <v>26</v>
      </c>
      <c r="I18" s="460"/>
    </row>
    <row r="19" spans="1:9">
      <c r="A19" s="115">
        <f>EDATE(A18,$B$7)</f>
        <v>44757</v>
      </c>
      <c r="B19" s="116">
        <f>B18</f>
        <v>1000000</v>
      </c>
      <c r="C19" s="117">
        <f>A19-A18</f>
        <v>181</v>
      </c>
      <c r="D19" s="117">
        <f t="shared" si="0"/>
        <v>0.50277777777777777</v>
      </c>
      <c r="E19" s="117">
        <f t="shared" si="1"/>
        <v>2.5138888888888902E-2</v>
      </c>
      <c r="F19" s="116">
        <f t="shared" si="2"/>
        <v>25138.89</v>
      </c>
      <c r="G19" s="119">
        <f>F17</f>
        <v>3611.11</v>
      </c>
      <c r="H19" s="120">
        <f>F19+G19</f>
        <v>28750</v>
      </c>
      <c r="I19" s="460"/>
    </row>
    <row r="20" spans="1:9">
      <c r="A20" s="115">
        <f t="shared" ref="A20:A21" si="3">EDATE(A19,$B$7)</f>
        <v>44941</v>
      </c>
      <c r="B20" s="116">
        <f>B19</f>
        <v>1000000</v>
      </c>
      <c r="C20" s="117">
        <f t="shared" ref="C20:C21" si="4">A20-A19</f>
        <v>184</v>
      </c>
      <c r="D20" s="117">
        <f t="shared" si="0"/>
        <v>0.51111111111111107</v>
      </c>
      <c r="E20" s="117">
        <f t="shared" si="1"/>
        <v>2.5555555555555599E-2</v>
      </c>
      <c r="F20" s="116">
        <f t="shared" si="2"/>
        <v>25555.56</v>
      </c>
      <c r="G20" s="117">
        <v>0</v>
      </c>
      <c r="H20" s="120">
        <f t="shared" ref="H20:H21" si="5">F20+G20</f>
        <v>25555.56</v>
      </c>
      <c r="I20" s="460"/>
    </row>
    <row r="21" spans="1:9">
      <c r="A21" s="115">
        <f t="shared" si="3"/>
        <v>45122</v>
      </c>
      <c r="B21" s="116">
        <f>B20</f>
        <v>1000000</v>
      </c>
      <c r="C21" s="117">
        <f t="shared" si="4"/>
        <v>181</v>
      </c>
      <c r="D21" s="117">
        <f t="shared" si="0"/>
        <v>0.50277777777777777</v>
      </c>
      <c r="E21" s="117">
        <f t="shared" si="1"/>
        <v>2.5138888888888902E-2</v>
      </c>
      <c r="F21" s="116">
        <f t="shared" si="2"/>
        <v>25138.89</v>
      </c>
      <c r="G21" s="117">
        <v>0</v>
      </c>
      <c r="H21" s="120">
        <f t="shared" si="5"/>
        <v>25138.89</v>
      </c>
      <c r="I21" s="460"/>
    </row>
    <row r="22" spans="1:9">
      <c r="A22" s="129" t="s">
        <v>31</v>
      </c>
      <c r="B22" s="129" t="s">
        <v>31</v>
      </c>
      <c r="C22" s="129" t="s">
        <v>32</v>
      </c>
      <c r="D22" s="129" t="s">
        <v>32</v>
      </c>
      <c r="E22" s="129" t="s">
        <v>32</v>
      </c>
      <c r="F22" s="129" t="s">
        <v>32</v>
      </c>
      <c r="G22" s="130"/>
      <c r="H22" s="129" t="s">
        <v>32</v>
      </c>
      <c r="I22" s="460"/>
    </row>
    <row r="23" spans="1:9">
      <c r="A23" s="460"/>
      <c r="B23" s="460"/>
      <c r="C23" s="460"/>
      <c r="D23" s="460"/>
      <c r="E23" s="460"/>
      <c r="F23" s="460"/>
      <c r="G23" s="460"/>
      <c r="H23" s="460"/>
      <c r="I23" s="460"/>
    </row>
  </sheetData>
  <mergeCells count="1">
    <mergeCell ref="G17:H17"/>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B340E-B83D-45F2-AB6E-FEE5F699DEFE}">
  <sheetPr>
    <tabColor theme="4" tint="0.39997558519241921"/>
  </sheetPr>
  <dimension ref="A1:T49"/>
  <sheetViews>
    <sheetView zoomScaleNormal="100" workbookViewId="0">
      <selection activeCell="A12" sqref="A12"/>
    </sheetView>
  </sheetViews>
  <sheetFormatPr defaultRowHeight="14.5"/>
  <cols>
    <col min="1" max="1" width="40.1796875" style="458" customWidth="1"/>
    <col min="2" max="2" width="29.1796875" style="458" customWidth="1"/>
    <col min="3" max="3" width="15.26953125" style="458" bestFit="1" customWidth="1"/>
    <col min="4" max="4" width="18.81640625" style="458" customWidth="1"/>
    <col min="5" max="5" width="13.453125" style="458" bestFit="1" customWidth="1"/>
    <col min="6" max="6" width="18.26953125" style="458" customWidth="1"/>
    <col min="7" max="7" width="12.26953125" style="458" customWidth="1"/>
    <col min="8" max="8" width="13.54296875" style="458" customWidth="1"/>
    <col min="9" max="9" width="17" style="458" bestFit="1" customWidth="1"/>
    <col min="10" max="10" width="18.81640625" style="458" bestFit="1" customWidth="1"/>
    <col min="11" max="11" width="12.54296875" style="458" customWidth="1"/>
    <col min="12" max="12" width="12.1796875" style="458" bestFit="1" customWidth="1"/>
    <col min="13" max="13" width="8.453125" style="458" bestFit="1" customWidth="1"/>
    <col min="14" max="14" width="12.7265625" style="458" customWidth="1"/>
    <col min="15" max="15" width="16.1796875" style="458" customWidth="1"/>
    <col min="16" max="16" width="17.54296875" style="458" customWidth="1"/>
    <col min="17" max="17" width="22.26953125" style="458" customWidth="1"/>
    <col min="18" max="18" width="17.54296875" style="458" customWidth="1"/>
    <col min="19" max="16384" width="8.7265625" style="458"/>
  </cols>
  <sheetData>
    <row r="1" spans="1:20">
      <c r="A1" s="15" t="s">
        <v>219</v>
      </c>
      <c r="B1" s="127"/>
      <c r="C1" s="127"/>
      <c r="D1" s="127"/>
      <c r="E1" s="127"/>
      <c r="F1" s="127"/>
      <c r="G1" s="127"/>
      <c r="H1" s="127"/>
      <c r="I1" s="127"/>
      <c r="J1" s="127"/>
      <c r="K1" s="460"/>
      <c r="L1" s="460"/>
      <c r="M1" s="460"/>
      <c r="N1" s="460"/>
      <c r="O1" s="460"/>
      <c r="P1" s="460"/>
      <c r="Q1" s="460"/>
      <c r="R1" s="460"/>
      <c r="S1" s="460"/>
      <c r="T1" s="460"/>
    </row>
    <row r="2" spans="1:20">
      <c r="A2" s="15"/>
      <c r="B2" s="127"/>
      <c r="C2" s="127"/>
      <c r="D2" s="127"/>
      <c r="E2" s="127"/>
      <c r="F2" s="127"/>
      <c r="G2" s="127"/>
      <c r="H2" s="127"/>
      <c r="I2" s="127"/>
      <c r="J2" s="127"/>
      <c r="K2" s="460"/>
      <c r="L2" s="460"/>
      <c r="M2" s="460"/>
      <c r="N2" s="460"/>
      <c r="O2" s="460"/>
      <c r="P2" s="460"/>
      <c r="Q2" s="460"/>
      <c r="R2" s="460"/>
      <c r="S2" s="460"/>
      <c r="T2" s="460"/>
    </row>
    <row r="3" spans="1:20">
      <c r="A3" s="94" t="s">
        <v>0</v>
      </c>
      <c r="B3" s="95"/>
      <c r="C3" s="84"/>
      <c r="D3" s="127"/>
      <c r="E3" s="83"/>
      <c r="F3" s="127"/>
      <c r="G3" s="127"/>
      <c r="H3" s="127"/>
      <c r="I3" s="127"/>
      <c r="J3" s="127"/>
      <c r="K3" s="460"/>
      <c r="L3" s="460"/>
      <c r="M3" s="460"/>
      <c r="N3" s="460"/>
      <c r="O3" s="460"/>
      <c r="P3" s="460"/>
      <c r="Q3" s="460"/>
      <c r="R3" s="460"/>
      <c r="S3" s="460"/>
      <c r="T3" s="460"/>
    </row>
    <row r="4" spans="1:20">
      <c r="A4" s="97" t="s">
        <v>1</v>
      </c>
      <c r="B4" s="98">
        <v>0.05</v>
      </c>
      <c r="C4" s="127"/>
      <c r="D4" s="127"/>
      <c r="E4" s="127"/>
      <c r="F4" s="127"/>
      <c r="G4" s="127"/>
      <c r="H4" s="127"/>
      <c r="I4" s="127"/>
      <c r="J4" s="127"/>
      <c r="K4" s="460"/>
      <c r="L4" s="460"/>
      <c r="M4" s="460"/>
      <c r="N4" s="460"/>
      <c r="O4" s="460"/>
      <c r="P4" s="460"/>
      <c r="Q4" s="460"/>
      <c r="R4" s="460"/>
      <c r="S4" s="460"/>
      <c r="T4" s="460"/>
    </row>
    <row r="5" spans="1:20">
      <c r="A5" s="97" t="s">
        <v>2</v>
      </c>
      <c r="B5" s="99">
        <v>44576</v>
      </c>
      <c r="C5" s="93"/>
      <c r="D5" s="100" t="s">
        <v>3</v>
      </c>
      <c r="E5" s="100" t="s">
        <v>4</v>
      </c>
      <c r="F5" s="100" t="s">
        <v>5</v>
      </c>
      <c r="G5" s="127"/>
      <c r="H5" s="127"/>
      <c r="I5" s="127"/>
      <c r="J5" s="127"/>
      <c r="K5" s="460"/>
      <c r="L5" s="460"/>
      <c r="M5" s="460"/>
      <c r="N5" s="460"/>
      <c r="O5" s="460"/>
      <c r="P5" s="460"/>
      <c r="Q5" s="460"/>
      <c r="R5" s="460"/>
      <c r="S5" s="460"/>
      <c r="T5" s="460"/>
    </row>
    <row r="6" spans="1:20">
      <c r="A6" s="101" t="s">
        <v>102</v>
      </c>
      <c r="B6" s="128">
        <v>1</v>
      </c>
      <c r="C6" s="154"/>
      <c r="D6" s="85" t="s">
        <v>6</v>
      </c>
      <c r="E6" s="124">
        <v>44540</v>
      </c>
      <c r="F6" s="125">
        <v>1000000</v>
      </c>
      <c r="G6" s="126"/>
      <c r="H6" s="127"/>
      <c r="I6" s="127"/>
      <c r="J6" s="127"/>
      <c r="K6" s="460"/>
      <c r="L6" s="460"/>
      <c r="M6" s="460"/>
      <c r="N6" s="460"/>
      <c r="O6" s="460"/>
      <c r="P6" s="460"/>
      <c r="Q6" s="460"/>
      <c r="R6" s="460"/>
      <c r="S6" s="460"/>
      <c r="T6" s="460"/>
    </row>
    <row r="7" spans="1:20">
      <c r="A7" s="97" t="s">
        <v>7</v>
      </c>
      <c r="B7" s="77">
        <v>6</v>
      </c>
      <c r="C7" s="127"/>
      <c r="D7" s="127"/>
      <c r="E7" s="127"/>
      <c r="F7" s="127"/>
      <c r="G7" s="127"/>
      <c r="H7" s="127"/>
      <c r="I7" s="127"/>
      <c r="J7" s="127"/>
      <c r="K7" s="460"/>
      <c r="L7" s="460"/>
      <c r="M7" s="460"/>
      <c r="N7" s="460"/>
      <c r="O7" s="460"/>
      <c r="P7" s="460"/>
      <c r="Q7" s="460"/>
      <c r="R7" s="460"/>
      <c r="S7" s="460"/>
      <c r="T7" s="460"/>
    </row>
    <row r="8" spans="1:20">
      <c r="A8" s="97" t="s">
        <v>8</v>
      </c>
      <c r="B8" s="78">
        <v>360</v>
      </c>
      <c r="C8" s="127"/>
      <c r="D8" s="127"/>
      <c r="E8" s="127"/>
      <c r="F8" s="127"/>
      <c r="G8" s="127"/>
      <c r="H8" s="127"/>
      <c r="I8" s="127"/>
      <c r="J8" s="127"/>
      <c r="K8" s="460"/>
      <c r="L8" s="460"/>
      <c r="M8" s="460"/>
      <c r="N8" s="460"/>
      <c r="O8" s="460"/>
      <c r="P8" s="460"/>
      <c r="Q8" s="460"/>
      <c r="R8" s="460"/>
      <c r="S8" s="460"/>
      <c r="T8" s="460"/>
    </row>
    <row r="9" spans="1:20">
      <c r="A9" s="97" t="s">
        <v>9</v>
      </c>
      <c r="B9" s="77">
        <v>16</v>
      </c>
      <c r="C9" s="127"/>
      <c r="D9" s="127"/>
      <c r="E9" s="127"/>
      <c r="F9" s="127"/>
      <c r="G9" s="127"/>
      <c r="H9" s="127"/>
      <c r="I9" s="127"/>
      <c r="J9" s="127"/>
      <c r="K9" s="460"/>
      <c r="L9" s="460"/>
      <c r="M9" s="460"/>
      <c r="N9" s="460"/>
      <c r="O9" s="460"/>
      <c r="P9" s="460"/>
      <c r="Q9" s="460"/>
      <c r="R9" s="460"/>
      <c r="S9" s="460"/>
      <c r="T9" s="460"/>
    </row>
    <row r="10" spans="1:20">
      <c r="A10" s="97" t="s">
        <v>10</v>
      </c>
      <c r="B10" s="77">
        <v>2</v>
      </c>
      <c r="C10" s="127"/>
      <c r="D10" s="127"/>
      <c r="E10" s="127"/>
      <c r="F10" s="127"/>
      <c r="G10" s="127"/>
      <c r="H10" s="127"/>
      <c r="I10" s="127"/>
      <c r="J10" s="127"/>
      <c r="K10" s="460"/>
      <c r="L10" s="460"/>
      <c r="M10" s="460"/>
      <c r="N10" s="460"/>
      <c r="O10" s="460"/>
      <c r="P10" s="460"/>
      <c r="Q10" s="460"/>
      <c r="R10" s="460"/>
      <c r="S10" s="460"/>
      <c r="T10" s="460"/>
    </row>
    <row r="11" spans="1:20" ht="72.5">
      <c r="A11" s="103" t="s">
        <v>11</v>
      </c>
      <c r="B11" s="97" t="s">
        <v>12</v>
      </c>
      <c r="C11" s="127"/>
      <c r="D11" s="127"/>
      <c r="E11" s="127"/>
      <c r="F11" s="127"/>
      <c r="G11" s="127"/>
      <c r="I11" s="127"/>
      <c r="J11" s="127"/>
      <c r="K11" s="460"/>
      <c r="L11" s="460"/>
      <c r="M11" s="460"/>
      <c r="N11" s="460"/>
      <c r="O11" s="603" t="s">
        <v>13</v>
      </c>
      <c r="P11" s="603" t="s">
        <v>14</v>
      </c>
      <c r="R11" s="147" t="s">
        <v>15</v>
      </c>
      <c r="S11" s="148" t="s">
        <v>16</v>
      </c>
      <c r="T11" s="460"/>
    </row>
    <row r="12" spans="1:20">
      <c r="A12" s="127"/>
      <c r="B12" s="127"/>
      <c r="C12" s="127"/>
      <c r="D12" s="127"/>
      <c r="E12" s="127"/>
      <c r="F12" s="127"/>
      <c r="G12" s="127"/>
      <c r="H12" s="127"/>
      <c r="I12" s="127"/>
      <c r="J12" s="127"/>
      <c r="K12" s="460"/>
      <c r="L12" s="460"/>
      <c r="M12" s="460"/>
      <c r="N12" s="460"/>
      <c r="O12" s="603">
        <v>2</v>
      </c>
      <c r="P12" s="603">
        <v>1</v>
      </c>
      <c r="Q12" s="460"/>
      <c r="R12" s="145">
        <f>ABS(H47-R47)</f>
        <v>139583.24999999965</v>
      </c>
      <c r="S12" s="146">
        <f>R12/L15</f>
        <v>0.13958324999999966</v>
      </c>
    </row>
    <row r="13" spans="1:20">
      <c r="A13" s="127"/>
      <c r="B13" s="127"/>
      <c r="C13" s="131"/>
      <c r="D13" s="127"/>
      <c r="E13" s="127"/>
      <c r="F13" s="127"/>
      <c r="G13" s="127"/>
      <c r="H13" s="127"/>
      <c r="I13" s="127"/>
      <c r="J13" s="127"/>
      <c r="K13" s="460"/>
      <c r="L13" s="460"/>
      <c r="M13" s="460"/>
      <c r="N13" s="460"/>
      <c r="O13" s="460"/>
      <c r="P13" s="460"/>
      <c r="Q13" s="460"/>
      <c r="R13" s="460"/>
      <c r="S13" s="460"/>
    </row>
    <row r="14" spans="1:20" ht="29">
      <c r="A14" s="110" t="s">
        <v>17</v>
      </c>
      <c r="B14" s="110" t="s">
        <v>18</v>
      </c>
      <c r="C14" s="155" t="s">
        <v>19</v>
      </c>
      <c r="D14" s="155" t="s">
        <v>20</v>
      </c>
      <c r="E14" s="155" t="s">
        <v>21</v>
      </c>
      <c r="F14" s="156" t="s">
        <v>22</v>
      </c>
      <c r="G14" s="156" t="s">
        <v>107</v>
      </c>
      <c r="H14" s="156" t="s">
        <v>24</v>
      </c>
      <c r="I14" s="127"/>
      <c r="J14" s="127"/>
      <c r="K14" s="666" t="s">
        <v>17</v>
      </c>
      <c r="L14" s="666" t="s">
        <v>18</v>
      </c>
      <c r="M14" s="667" t="s">
        <v>19</v>
      </c>
      <c r="N14" s="667" t="s">
        <v>20</v>
      </c>
      <c r="O14" s="667" t="s">
        <v>21</v>
      </c>
      <c r="P14" s="156" t="s">
        <v>22</v>
      </c>
      <c r="Q14" s="156" t="s">
        <v>23</v>
      </c>
      <c r="R14" s="110" t="s">
        <v>24</v>
      </c>
      <c r="S14" s="127"/>
      <c r="T14" s="460"/>
    </row>
    <row r="15" spans="1:20">
      <c r="A15" s="105">
        <f>E6</f>
        <v>44540</v>
      </c>
      <c r="B15" s="106">
        <f>F6</f>
        <v>1000000</v>
      </c>
      <c r="C15" s="141"/>
      <c r="D15" s="141"/>
      <c r="E15" s="141"/>
      <c r="F15" s="141"/>
      <c r="G15" s="141"/>
      <c r="H15" s="134" t="s">
        <v>202</v>
      </c>
      <c r="I15" s="668"/>
      <c r="J15" s="668"/>
      <c r="K15" s="669">
        <f>A15</f>
        <v>44540</v>
      </c>
      <c r="L15" s="670">
        <f>B15</f>
        <v>1000000</v>
      </c>
      <c r="M15" s="668"/>
      <c r="N15" s="668"/>
      <c r="O15" s="668"/>
      <c r="P15" s="668"/>
      <c r="Q15" s="668"/>
      <c r="R15" s="413" t="s">
        <v>202</v>
      </c>
      <c r="S15" s="668"/>
      <c r="T15" s="460"/>
    </row>
    <row r="16" spans="1:20">
      <c r="A16" s="102">
        <f>EDATE(A17,-1)</f>
        <v>44545</v>
      </c>
      <c r="B16" s="101" t="s">
        <v>25</v>
      </c>
      <c r="C16" s="104"/>
      <c r="D16" s="104"/>
      <c r="E16" s="104"/>
      <c r="F16" s="104"/>
      <c r="G16" s="107"/>
      <c r="H16" s="107"/>
      <c r="I16" s="668"/>
      <c r="J16" s="668"/>
      <c r="K16" s="102">
        <f>A16</f>
        <v>44545</v>
      </c>
      <c r="L16" s="101" t="s">
        <v>25</v>
      </c>
      <c r="M16" s="104"/>
      <c r="N16" s="104"/>
      <c r="O16" s="104"/>
      <c r="P16" s="104"/>
      <c r="Q16" s="107"/>
      <c r="R16" s="107"/>
      <c r="S16" s="668"/>
      <c r="T16" s="460"/>
    </row>
    <row r="17" spans="1:20">
      <c r="A17" s="108">
        <f>B5</f>
        <v>44576</v>
      </c>
      <c r="B17" s="109">
        <f>B15</f>
        <v>1000000</v>
      </c>
      <c r="C17" s="95">
        <f>_xlfn.DAYS(A17,A15)</f>
        <v>36</v>
      </c>
      <c r="D17" s="95">
        <f>C17/$B$8</f>
        <v>0.1</v>
      </c>
      <c r="E17" s="95">
        <f>ROUND(D17*$B$4,$B$9)</f>
        <v>5.0000000000000001E-3</v>
      </c>
      <c r="F17" s="109">
        <f>ROUND(E17*B15,$B$10)</f>
        <v>5000</v>
      </c>
      <c r="G17" s="151">
        <v>1</v>
      </c>
      <c r="H17" s="412">
        <f>F17</f>
        <v>5000</v>
      </c>
      <c r="I17" s="127"/>
      <c r="J17" s="127"/>
      <c r="K17" s="142">
        <f>A17</f>
        <v>44576</v>
      </c>
      <c r="L17" s="143">
        <f>L15</f>
        <v>1000000</v>
      </c>
      <c r="M17" s="144">
        <f>_xlfn.DAYS(K17,K15)</f>
        <v>36</v>
      </c>
      <c r="N17" s="144">
        <f>M17/$B$8</f>
        <v>0.1</v>
      </c>
      <c r="O17" s="144">
        <f>ROUND(N17*$B$4,$O$12)</f>
        <v>0.01</v>
      </c>
      <c r="P17" s="143">
        <f>ROUND(O17*L15,$P$12)</f>
        <v>10000</v>
      </c>
      <c r="Q17" s="144" t="s">
        <v>26</v>
      </c>
      <c r="R17" s="412">
        <f>P17</f>
        <v>10000</v>
      </c>
      <c r="S17" s="127">
        <v>1</v>
      </c>
      <c r="T17" s="460"/>
    </row>
    <row r="18" spans="1:20">
      <c r="A18" s="108">
        <f>EDATE(A17,$B$7)</f>
        <v>44757</v>
      </c>
      <c r="B18" s="109">
        <f>B17</f>
        <v>1000000</v>
      </c>
      <c r="C18" s="95">
        <f>_xlfn.DAYS(A18,A17)</f>
        <v>181</v>
      </c>
      <c r="D18" s="95">
        <f t="shared" ref="D18:D46" si="0">C18/$B$8</f>
        <v>0.50277777777777777</v>
      </c>
      <c r="E18" s="95">
        <f t="shared" ref="E18:E46" si="1">ROUND(D18*$B$4,$B$9)</f>
        <v>2.5138888888888902E-2</v>
      </c>
      <c r="F18" s="109">
        <f>ROUND(E18*B17,$B$10)</f>
        <v>25138.89</v>
      </c>
      <c r="G18" s="152">
        <f>G17+1</f>
        <v>2</v>
      </c>
      <c r="H18" s="412">
        <f t="shared" ref="H18:H46" si="2">F18</f>
        <v>25138.89</v>
      </c>
      <c r="I18" s="127"/>
      <c r="J18" s="127"/>
      <c r="K18" s="142">
        <f>EDATE(K17,$B$7)</f>
        <v>44757</v>
      </c>
      <c r="L18" s="143">
        <f>L17</f>
        <v>1000000</v>
      </c>
      <c r="M18" s="144">
        <f>_xlfn.DAYS(K18,K17)</f>
        <v>181</v>
      </c>
      <c r="N18" s="144">
        <f t="shared" ref="N18:N46" si="3">M18/$B$8</f>
        <v>0.50277777777777777</v>
      </c>
      <c r="O18" s="144">
        <f t="shared" ref="O18:O46" si="4">ROUND(N18*$B$4,$O$12)</f>
        <v>0.03</v>
      </c>
      <c r="P18" s="143">
        <f>ROUND(O18*L17,$P$12)</f>
        <v>30000</v>
      </c>
      <c r="Q18" s="144" t="s">
        <v>26</v>
      </c>
      <c r="R18" s="412">
        <f t="shared" ref="R18:R46" si="5">P18</f>
        <v>30000</v>
      </c>
      <c r="S18" s="127">
        <f>S17+1</f>
        <v>2</v>
      </c>
      <c r="T18" s="460"/>
    </row>
    <row r="19" spans="1:20">
      <c r="A19" s="108">
        <f t="shared" ref="A19:A46" si="6">EDATE(A18,$B$7)</f>
        <v>44941</v>
      </c>
      <c r="B19" s="109">
        <f t="shared" ref="B19:B46" si="7">B18</f>
        <v>1000000</v>
      </c>
      <c r="C19" s="95">
        <f t="shared" ref="C19:C46" si="8">_xlfn.DAYS(A19,A18)</f>
        <v>184</v>
      </c>
      <c r="D19" s="95">
        <f t="shared" si="0"/>
        <v>0.51111111111111107</v>
      </c>
      <c r="E19" s="95">
        <f t="shared" si="1"/>
        <v>2.5555555555555599E-2</v>
      </c>
      <c r="F19" s="109">
        <f t="shared" ref="F19:F46" si="9">ROUND(E19*B18,$B$10)</f>
        <v>25555.56</v>
      </c>
      <c r="G19" s="152">
        <f t="shared" ref="G19:G46" si="10">G18+1</f>
        <v>3</v>
      </c>
      <c r="H19" s="412">
        <f t="shared" si="2"/>
        <v>25555.56</v>
      </c>
      <c r="I19" s="127"/>
      <c r="J19" s="127"/>
      <c r="K19" s="142">
        <f t="shared" ref="K19:K46" si="11">EDATE(K18,$B$7)</f>
        <v>44941</v>
      </c>
      <c r="L19" s="143">
        <f t="shared" ref="L19:L46" si="12">L17</f>
        <v>1000000</v>
      </c>
      <c r="M19" s="144">
        <f t="shared" ref="M19:M46" si="13">_xlfn.DAYS(K19,K18)</f>
        <v>184</v>
      </c>
      <c r="N19" s="144">
        <f t="shared" si="3"/>
        <v>0.51111111111111107</v>
      </c>
      <c r="O19" s="144">
        <f t="shared" si="4"/>
        <v>0.03</v>
      </c>
      <c r="P19" s="143">
        <f t="shared" ref="P19:P46" si="14">ROUND(O19*L17,$P$12)</f>
        <v>30000</v>
      </c>
      <c r="Q19" s="144" t="s">
        <v>26</v>
      </c>
      <c r="R19" s="412">
        <f t="shared" si="5"/>
        <v>30000</v>
      </c>
      <c r="S19" s="127">
        <f t="shared" ref="S19:S46" si="15">S18+1</f>
        <v>3</v>
      </c>
      <c r="T19" s="460"/>
    </row>
    <row r="20" spans="1:20">
      <c r="A20" s="108">
        <f t="shared" si="6"/>
        <v>45122</v>
      </c>
      <c r="B20" s="109">
        <f t="shared" si="7"/>
        <v>1000000</v>
      </c>
      <c r="C20" s="95">
        <f t="shared" si="8"/>
        <v>181</v>
      </c>
      <c r="D20" s="95">
        <f t="shared" si="0"/>
        <v>0.50277777777777777</v>
      </c>
      <c r="E20" s="95">
        <f t="shared" si="1"/>
        <v>2.5138888888888902E-2</v>
      </c>
      <c r="F20" s="109">
        <f t="shared" si="9"/>
        <v>25138.89</v>
      </c>
      <c r="G20" s="152">
        <f t="shared" si="10"/>
        <v>4</v>
      </c>
      <c r="H20" s="412">
        <f t="shared" si="2"/>
        <v>25138.89</v>
      </c>
      <c r="I20" s="127"/>
      <c r="J20" s="127"/>
      <c r="K20" s="142">
        <f t="shared" si="11"/>
        <v>45122</v>
      </c>
      <c r="L20" s="143">
        <f t="shared" si="12"/>
        <v>1000000</v>
      </c>
      <c r="M20" s="144">
        <f t="shared" si="13"/>
        <v>181</v>
      </c>
      <c r="N20" s="144">
        <f t="shared" si="3"/>
        <v>0.50277777777777777</v>
      </c>
      <c r="O20" s="144">
        <f t="shared" si="4"/>
        <v>0.03</v>
      </c>
      <c r="P20" s="143">
        <f t="shared" si="14"/>
        <v>30000</v>
      </c>
      <c r="Q20" s="144" t="s">
        <v>26</v>
      </c>
      <c r="R20" s="412">
        <f t="shared" si="5"/>
        <v>30000</v>
      </c>
      <c r="S20" s="127">
        <f t="shared" si="15"/>
        <v>4</v>
      </c>
      <c r="T20" s="460"/>
    </row>
    <row r="21" spans="1:20">
      <c r="A21" s="108">
        <f t="shared" si="6"/>
        <v>45306</v>
      </c>
      <c r="B21" s="109">
        <f t="shared" si="7"/>
        <v>1000000</v>
      </c>
      <c r="C21" s="95">
        <f t="shared" si="8"/>
        <v>184</v>
      </c>
      <c r="D21" s="95">
        <f t="shared" si="0"/>
        <v>0.51111111111111107</v>
      </c>
      <c r="E21" s="95">
        <f t="shared" si="1"/>
        <v>2.5555555555555599E-2</v>
      </c>
      <c r="F21" s="109">
        <f t="shared" si="9"/>
        <v>25555.56</v>
      </c>
      <c r="G21" s="152">
        <f t="shared" si="10"/>
        <v>5</v>
      </c>
      <c r="H21" s="412">
        <f t="shared" si="2"/>
        <v>25555.56</v>
      </c>
      <c r="I21" s="127"/>
      <c r="J21" s="127"/>
      <c r="K21" s="142">
        <f t="shared" si="11"/>
        <v>45306</v>
      </c>
      <c r="L21" s="143">
        <f t="shared" si="12"/>
        <v>1000000</v>
      </c>
      <c r="M21" s="144">
        <f t="shared" si="13"/>
        <v>184</v>
      </c>
      <c r="N21" s="144">
        <f t="shared" si="3"/>
        <v>0.51111111111111107</v>
      </c>
      <c r="O21" s="144">
        <f t="shared" si="4"/>
        <v>0.03</v>
      </c>
      <c r="P21" s="143">
        <f t="shared" si="14"/>
        <v>30000</v>
      </c>
      <c r="Q21" s="144" t="s">
        <v>26</v>
      </c>
      <c r="R21" s="412">
        <f t="shared" si="5"/>
        <v>30000</v>
      </c>
      <c r="S21" s="127">
        <f t="shared" si="15"/>
        <v>5</v>
      </c>
      <c r="T21" s="460"/>
    </row>
    <row r="22" spans="1:20">
      <c r="A22" s="108">
        <f t="shared" si="6"/>
        <v>45488</v>
      </c>
      <c r="B22" s="109">
        <f t="shared" si="7"/>
        <v>1000000</v>
      </c>
      <c r="C22" s="95">
        <f t="shared" si="8"/>
        <v>182</v>
      </c>
      <c r="D22" s="95">
        <f t="shared" si="0"/>
        <v>0.50555555555555554</v>
      </c>
      <c r="E22" s="95">
        <f t="shared" si="1"/>
        <v>2.5277777777777798E-2</v>
      </c>
      <c r="F22" s="109">
        <f t="shared" si="9"/>
        <v>25277.78</v>
      </c>
      <c r="G22" s="152">
        <f t="shared" si="10"/>
        <v>6</v>
      </c>
      <c r="H22" s="412">
        <f t="shared" si="2"/>
        <v>25277.78</v>
      </c>
      <c r="I22" s="127"/>
      <c r="J22" s="127"/>
      <c r="K22" s="142">
        <f t="shared" si="11"/>
        <v>45488</v>
      </c>
      <c r="L22" s="143">
        <f t="shared" si="12"/>
        <v>1000000</v>
      </c>
      <c r="M22" s="144">
        <f t="shared" si="13"/>
        <v>182</v>
      </c>
      <c r="N22" s="144">
        <f t="shared" si="3"/>
        <v>0.50555555555555554</v>
      </c>
      <c r="O22" s="144">
        <f t="shared" si="4"/>
        <v>0.03</v>
      </c>
      <c r="P22" s="143">
        <f t="shared" si="14"/>
        <v>30000</v>
      </c>
      <c r="Q22" s="144" t="s">
        <v>26</v>
      </c>
      <c r="R22" s="412">
        <f t="shared" si="5"/>
        <v>30000</v>
      </c>
      <c r="S22" s="127">
        <f t="shared" si="15"/>
        <v>6</v>
      </c>
      <c r="T22" s="460"/>
    </row>
    <row r="23" spans="1:20">
      <c r="A23" s="108">
        <f t="shared" si="6"/>
        <v>45672</v>
      </c>
      <c r="B23" s="109">
        <f t="shared" si="7"/>
        <v>1000000</v>
      </c>
      <c r="C23" s="95">
        <f t="shared" si="8"/>
        <v>184</v>
      </c>
      <c r="D23" s="95">
        <f t="shared" si="0"/>
        <v>0.51111111111111107</v>
      </c>
      <c r="E23" s="95">
        <f t="shared" si="1"/>
        <v>2.5555555555555599E-2</v>
      </c>
      <c r="F23" s="109">
        <f t="shared" si="9"/>
        <v>25555.56</v>
      </c>
      <c r="G23" s="152">
        <f t="shared" si="10"/>
        <v>7</v>
      </c>
      <c r="H23" s="412">
        <f t="shared" si="2"/>
        <v>25555.56</v>
      </c>
      <c r="I23" s="127"/>
      <c r="J23" s="127"/>
      <c r="K23" s="142">
        <f t="shared" si="11"/>
        <v>45672</v>
      </c>
      <c r="L23" s="143">
        <f t="shared" si="12"/>
        <v>1000000</v>
      </c>
      <c r="M23" s="144">
        <f t="shared" si="13"/>
        <v>184</v>
      </c>
      <c r="N23" s="144">
        <f t="shared" si="3"/>
        <v>0.51111111111111107</v>
      </c>
      <c r="O23" s="144">
        <f t="shared" si="4"/>
        <v>0.03</v>
      </c>
      <c r="P23" s="143">
        <f t="shared" si="14"/>
        <v>30000</v>
      </c>
      <c r="Q23" s="144" t="s">
        <v>26</v>
      </c>
      <c r="R23" s="412">
        <f t="shared" si="5"/>
        <v>30000</v>
      </c>
      <c r="S23" s="127">
        <f t="shared" si="15"/>
        <v>7</v>
      </c>
      <c r="T23" s="460"/>
    </row>
    <row r="24" spans="1:20">
      <c r="A24" s="108">
        <f t="shared" si="6"/>
        <v>45853</v>
      </c>
      <c r="B24" s="109">
        <f t="shared" si="7"/>
        <v>1000000</v>
      </c>
      <c r="C24" s="95">
        <f t="shared" si="8"/>
        <v>181</v>
      </c>
      <c r="D24" s="95">
        <f t="shared" si="0"/>
        <v>0.50277777777777777</v>
      </c>
      <c r="E24" s="95">
        <f t="shared" si="1"/>
        <v>2.5138888888888902E-2</v>
      </c>
      <c r="F24" s="109">
        <f t="shared" si="9"/>
        <v>25138.89</v>
      </c>
      <c r="G24" s="152">
        <f t="shared" si="10"/>
        <v>8</v>
      </c>
      <c r="H24" s="412">
        <f t="shared" si="2"/>
        <v>25138.89</v>
      </c>
      <c r="I24" s="127"/>
      <c r="J24" s="127"/>
      <c r="K24" s="142">
        <f t="shared" si="11"/>
        <v>45853</v>
      </c>
      <c r="L24" s="143">
        <f t="shared" si="12"/>
        <v>1000000</v>
      </c>
      <c r="M24" s="144">
        <f t="shared" si="13"/>
        <v>181</v>
      </c>
      <c r="N24" s="144">
        <f t="shared" si="3"/>
        <v>0.50277777777777777</v>
      </c>
      <c r="O24" s="144">
        <f t="shared" si="4"/>
        <v>0.03</v>
      </c>
      <c r="P24" s="143">
        <f t="shared" si="14"/>
        <v>30000</v>
      </c>
      <c r="Q24" s="144" t="s">
        <v>26</v>
      </c>
      <c r="R24" s="412">
        <f t="shared" si="5"/>
        <v>30000</v>
      </c>
      <c r="S24" s="127">
        <f t="shared" si="15"/>
        <v>8</v>
      </c>
      <c r="T24" s="460"/>
    </row>
    <row r="25" spans="1:20">
      <c r="A25" s="108">
        <f t="shared" si="6"/>
        <v>46037</v>
      </c>
      <c r="B25" s="109">
        <f t="shared" si="7"/>
        <v>1000000</v>
      </c>
      <c r="C25" s="95">
        <f t="shared" si="8"/>
        <v>184</v>
      </c>
      <c r="D25" s="95">
        <f t="shared" si="0"/>
        <v>0.51111111111111107</v>
      </c>
      <c r="E25" s="95">
        <f t="shared" si="1"/>
        <v>2.5555555555555599E-2</v>
      </c>
      <c r="F25" s="109">
        <f t="shared" si="9"/>
        <v>25555.56</v>
      </c>
      <c r="G25" s="152">
        <f t="shared" si="10"/>
        <v>9</v>
      </c>
      <c r="H25" s="412">
        <f t="shared" si="2"/>
        <v>25555.56</v>
      </c>
      <c r="I25" s="127"/>
      <c r="J25" s="127"/>
      <c r="K25" s="142">
        <f t="shared" si="11"/>
        <v>46037</v>
      </c>
      <c r="L25" s="143">
        <f t="shared" si="12"/>
        <v>1000000</v>
      </c>
      <c r="M25" s="144">
        <f t="shared" si="13"/>
        <v>184</v>
      </c>
      <c r="N25" s="144">
        <f t="shared" si="3"/>
        <v>0.51111111111111107</v>
      </c>
      <c r="O25" s="144">
        <f t="shared" si="4"/>
        <v>0.03</v>
      </c>
      <c r="P25" s="143">
        <f t="shared" si="14"/>
        <v>30000</v>
      </c>
      <c r="Q25" s="144" t="s">
        <v>26</v>
      </c>
      <c r="R25" s="412">
        <f t="shared" si="5"/>
        <v>30000</v>
      </c>
      <c r="S25" s="127">
        <f t="shared" si="15"/>
        <v>9</v>
      </c>
      <c r="T25" s="460"/>
    </row>
    <row r="26" spans="1:20">
      <c r="A26" s="108">
        <f t="shared" si="6"/>
        <v>46218</v>
      </c>
      <c r="B26" s="109">
        <f t="shared" si="7"/>
        <v>1000000</v>
      </c>
      <c r="C26" s="95">
        <f t="shared" si="8"/>
        <v>181</v>
      </c>
      <c r="D26" s="95">
        <f t="shared" si="0"/>
        <v>0.50277777777777777</v>
      </c>
      <c r="E26" s="95">
        <f t="shared" si="1"/>
        <v>2.5138888888888902E-2</v>
      </c>
      <c r="F26" s="109">
        <f t="shared" si="9"/>
        <v>25138.89</v>
      </c>
      <c r="G26" s="152">
        <f t="shared" si="10"/>
        <v>10</v>
      </c>
      <c r="H26" s="412">
        <f t="shared" si="2"/>
        <v>25138.89</v>
      </c>
      <c r="I26" s="127"/>
      <c r="J26" s="127"/>
      <c r="K26" s="142">
        <f t="shared" si="11"/>
        <v>46218</v>
      </c>
      <c r="L26" s="143">
        <f t="shared" si="12"/>
        <v>1000000</v>
      </c>
      <c r="M26" s="144">
        <f t="shared" si="13"/>
        <v>181</v>
      </c>
      <c r="N26" s="144">
        <f t="shared" si="3"/>
        <v>0.50277777777777777</v>
      </c>
      <c r="O26" s="144">
        <f t="shared" si="4"/>
        <v>0.03</v>
      </c>
      <c r="P26" s="143">
        <f t="shared" si="14"/>
        <v>30000</v>
      </c>
      <c r="Q26" s="144" t="s">
        <v>26</v>
      </c>
      <c r="R26" s="412">
        <f t="shared" si="5"/>
        <v>30000</v>
      </c>
      <c r="S26" s="127">
        <f t="shared" si="15"/>
        <v>10</v>
      </c>
      <c r="T26" s="460"/>
    </row>
    <row r="27" spans="1:20">
      <c r="A27" s="108">
        <f t="shared" si="6"/>
        <v>46402</v>
      </c>
      <c r="B27" s="109">
        <f t="shared" si="7"/>
        <v>1000000</v>
      </c>
      <c r="C27" s="95">
        <f t="shared" si="8"/>
        <v>184</v>
      </c>
      <c r="D27" s="95">
        <f t="shared" si="0"/>
        <v>0.51111111111111107</v>
      </c>
      <c r="E27" s="95">
        <f t="shared" si="1"/>
        <v>2.5555555555555599E-2</v>
      </c>
      <c r="F27" s="109">
        <f t="shared" si="9"/>
        <v>25555.56</v>
      </c>
      <c r="G27" s="152">
        <f t="shared" si="10"/>
        <v>11</v>
      </c>
      <c r="H27" s="412">
        <f t="shared" si="2"/>
        <v>25555.56</v>
      </c>
      <c r="I27" s="127"/>
      <c r="J27" s="127"/>
      <c r="K27" s="142">
        <f t="shared" si="11"/>
        <v>46402</v>
      </c>
      <c r="L27" s="143">
        <f t="shared" si="12"/>
        <v>1000000</v>
      </c>
      <c r="M27" s="144">
        <f t="shared" si="13"/>
        <v>184</v>
      </c>
      <c r="N27" s="144">
        <f t="shared" si="3"/>
        <v>0.51111111111111107</v>
      </c>
      <c r="O27" s="144">
        <f t="shared" si="4"/>
        <v>0.03</v>
      </c>
      <c r="P27" s="143">
        <f t="shared" si="14"/>
        <v>30000</v>
      </c>
      <c r="Q27" s="144" t="s">
        <v>26</v>
      </c>
      <c r="R27" s="412">
        <f t="shared" si="5"/>
        <v>30000</v>
      </c>
      <c r="S27" s="127">
        <f t="shared" si="15"/>
        <v>11</v>
      </c>
      <c r="T27" s="460"/>
    </row>
    <row r="28" spans="1:20">
      <c r="A28" s="108">
        <f t="shared" si="6"/>
        <v>46583</v>
      </c>
      <c r="B28" s="109">
        <f t="shared" si="7"/>
        <v>1000000</v>
      </c>
      <c r="C28" s="95">
        <f t="shared" si="8"/>
        <v>181</v>
      </c>
      <c r="D28" s="95">
        <f t="shared" si="0"/>
        <v>0.50277777777777777</v>
      </c>
      <c r="E28" s="95">
        <f t="shared" si="1"/>
        <v>2.5138888888888902E-2</v>
      </c>
      <c r="F28" s="109">
        <f t="shared" si="9"/>
        <v>25138.89</v>
      </c>
      <c r="G28" s="152">
        <f t="shared" si="10"/>
        <v>12</v>
      </c>
      <c r="H28" s="412">
        <f t="shared" si="2"/>
        <v>25138.89</v>
      </c>
      <c r="I28" s="127"/>
      <c r="J28" s="127"/>
      <c r="K28" s="142">
        <f t="shared" si="11"/>
        <v>46583</v>
      </c>
      <c r="L28" s="143">
        <f t="shared" si="12"/>
        <v>1000000</v>
      </c>
      <c r="M28" s="144">
        <f t="shared" si="13"/>
        <v>181</v>
      </c>
      <c r="N28" s="144">
        <f t="shared" si="3"/>
        <v>0.50277777777777777</v>
      </c>
      <c r="O28" s="144">
        <f t="shared" si="4"/>
        <v>0.03</v>
      </c>
      <c r="P28" s="143">
        <f t="shared" si="14"/>
        <v>30000</v>
      </c>
      <c r="Q28" s="144" t="s">
        <v>26</v>
      </c>
      <c r="R28" s="412">
        <f t="shared" si="5"/>
        <v>30000</v>
      </c>
      <c r="S28" s="127">
        <f t="shared" si="15"/>
        <v>12</v>
      </c>
      <c r="T28" s="460"/>
    </row>
    <row r="29" spans="1:20">
      <c r="A29" s="108">
        <f t="shared" si="6"/>
        <v>46767</v>
      </c>
      <c r="B29" s="109">
        <f t="shared" si="7"/>
        <v>1000000</v>
      </c>
      <c r="C29" s="95">
        <f t="shared" si="8"/>
        <v>184</v>
      </c>
      <c r="D29" s="95">
        <f t="shared" si="0"/>
        <v>0.51111111111111107</v>
      </c>
      <c r="E29" s="95">
        <f t="shared" si="1"/>
        <v>2.5555555555555599E-2</v>
      </c>
      <c r="F29" s="109">
        <f t="shared" si="9"/>
        <v>25555.56</v>
      </c>
      <c r="G29" s="152">
        <f t="shared" si="10"/>
        <v>13</v>
      </c>
      <c r="H29" s="412">
        <f t="shared" si="2"/>
        <v>25555.56</v>
      </c>
      <c r="I29" s="127"/>
      <c r="J29" s="127"/>
      <c r="K29" s="142">
        <f t="shared" si="11"/>
        <v>46767</v>
      </c>
      <c r="L29" s="143">
        <f t="shared" si="12"/>
        <v>1000000</v>
      </c>
      <c r="M29" s="144">
        <f t="shared" si="13"/>
        <v>184</v>
      </c>
      <c r="N29" s="144">
        <f t="shared" si="3"/>
        <v>0.51111111111111107</v>
      </c>
      <c r="O29" s="144">
        <f t="shared" si="4"/>
        <v>0.03</v>
      </c>
      <c r="P29" s="143">
        <f t="shared" si="14"/>
        <v>30000</v>
      </c>
      <c r="Q29" s="144" t="s">
        <v>26</v>
      </c>
      <c r="R29" s="412">
        <f t="shared" si="5"/>
        <v>30000</v>
      </c>
      <c r="S29" s="127">
        <f t="shared" si="15"/>
        <v>13</v>
      </c>
      <c r="T29" s="460"/>
    </row>
    <row r="30" spans="1:20">
      <c r="A30" s="108">
        <f t="shared" si="6"/>
        <v>46949</v>
      </c>
      <c r="B30" s="109">
        <f t="shared" si="7"/>
        <v>1000000</v>
      </c>
      <c r="C30" s="95">
        <f t="shared" si="8"/>
        <v>182</v>
      </c>
      <c r="D30" s="95">
        <f t="shared" si="0"/>
        <v>0.50555555555555554</v>
      </c>
      <c r="E30" s="95">
        <f t="shared" si="1"/>
        <v>2.5277777777777798E-2</v>
      </c>
      <c r="F30" s="109">
        <f t="shared" si="9"/>
        <v>25277.78</v>
      </c>
      <c r="G30" s="152">
        <f t="shared" si="10"/>
        <v>14</v>
      </c>
      <c r="H30" s="412">
        <f t="shared" si="2"/>
        <v>25277.78</v>
      </c>
      <c r="I30" s="127"/>
      <c r="J30" s="127"/>
      <c r="K30" s="142">
        <f t="shared" si="11"/>
        <v>46949</v>
      </c>
      <c r="L30" s="143">
        <f t="shared" si="12"/>
        <v>1000000</v>
      </c>
      <c r="M30" s="144">
        <f t="shared" si="13"/>
        <v>182</v>
      </c>
      <c r="N30" s="144">
        <f t="shared" si="3"/>
        <v>0.50555555555555554</v>
      </c>
      <c r="O30" s="144">
        <f t="shared" si="4"/>
        <v>0.03</v>
      </c>
      <c r="P30" s="143">
        <f t="shared" si="14"/>
        <v>30000</v>
      </c>
      <c r="Q30" s="144" t="s">
        <v>26</v>
      </c>
      <c r="R30" s="412">
        <f t="shared" si="5"/>
        <v>30000</v>
      </c>
      <c r="S30" s="127">
        <f t="shared" si="15"/>
        <v>14</v>
      </c>
      <c r="T30" s="460"/>
    </row>
    <row r="31" spans="1:20">
      <c r="A31" s="108">
        <f t="shared" si="6"/>
        <v>47133</v>
      </c>
      <c r="B31" s="109">
        <f t="shared" si="7"/>
        <v>1000000</v>
      </c>
      <c r="C31" s="95">
        <f t="shared" si="8"/>
        <v>184</v>
      </c>
      <c r="D31" s="95">
        <f t="shared" si="0"/>
        <v>0.51111111111111107</v>
      </c>
      <c r="E31" s="95">
        <f t="shared" si="1"/>
        <v>2.5555555555555599E-2</v>
      </c>
      <c r="F31" s="109">
        <f t="shared" si="9"/>
        <v>25555.56</v>
      </c>
      <c r="G31" s="152">
        <f t="shared" si="10"/>
        <v>15</v>
      </c>
      <c r="H31" s="412">
        <f t="shared" si="2"/>
        <v>25555.56</v>
      </c>
      <c r="I31" s="127"/>
      <c r="J31" s="127"/>
      <c r="K31" s="142">
        <f t="shared" si="11"/>
        <v>47133</v>
      </c>
      <c r="L31" s="143">
        <f t="shared" si="12"/>
        <v>1000000</v>
      </c>
      <c r="M31" s="144">
        <f t="shared" si="13"/>
        <v>184</v>
      </c>
      <c r="N31" s="144">
        <f t="shared" si="3"/>
        <v>0.51111111111111107</v>
      </c>
      <c r="O31" s="144">
        <f t="shared" si="4"/>
        <v>0.03</v>
      </c>
      <c r="P31" s="143">
        <f t="shared" si="14"/>
        <v>30000</v>
      </c>
      <c r="Q31" s="144" t="s">
        <v>26</v>
      </c>
      <c r="R31" s="412">
        <f t="shared" si="5"/>
        <v>30000</v>
      </c>
      <c r="S31" s="127">
        <f t="shared" si="15"/>
        <v>15</v>
      </c>
      <c r="T31" s="460"/>
    </row>
    <row r="32" spans="1:20">
      <c r="A32" s="108">
        <f t="shared" si="6"/>
        <v>47314</v>
      </c>
      <c r="B32" s="109">
        <f t="shared" si="7"/>
        <v>1000000</v>
      </c>
      <c r="C32" s="95">
        <f t="shared" si="8"/>
        <v>181</v>
      </c>
      <c r="D32" s="95">
        <f t="shared" si="0"/>
        <v>0.50277777777777777</v>
      </c>
      <c r="E32" s="95">
        <f t="shared" si="1"/>
        <v>2.5138888888888902E-2</v>
      </c>
      <c r="F32" s="109">
        <f t="shared" si="9"/>
        <v>25138.89</v>
      </c>
      <c r="G32" s="152">
        <f t="shared" si="10"/>
        <v>16</v>
      </c>
      <c r="H32" s="412">
        <f t="shared" si="2"/>
        <v>25138.89</v>
      </c>
      <c r="I32" s="127"/>
      <c r="J32" s="127"/>
      <c r="K32" s="142">
        <f t="shared" si="11"/>
        <v>47314</v>
      </c>
      <c r="L32" s="143">
        <f t="shared" si="12"/>
        <v>1000000</v>
      </c>
      <c r="M32" s="144">
        <f t="shared" si="13"/>
        <v>181</v>
      </c>
      <c r="N32" s="144">
        <f t="shared" si="3"/>
        <v>0.50277777777777777</v>
      </c>
      <c r="O32" s="144">
        <f t="shared" si="4"/>
        <v>0.03</v>
      </c>
      <c r="P32" s="143">
        <f t="shared" si="14"/>
        <v>30000</v>
      </c>
      <c r="Q32" s="144" t="s">
        <v>26</v>
      </c>
      <c r="R32" s="412">
        <f t="shared" si="5"/>
        <v>30000</v>
      </c>
      <c r="S32" s="127">
        <f t="shared" si="15"/>
        <v>16</v>
      </c>
      <c r="T32" s="460"/>
    </row>
    <row r="33" spans="1:20">
      <c r="A33" s="108">
        <f t="shared" si="6"/>
        <v>47498</v>
      </c>
      <c r="B33" s="109">
        <f t="shared" si="7"/>
        <v>1000000</v>
      </c>
      <c r="C33" s="95">
        <f t="shared" si="8"/>
        <v>184</v>
      </c>
      <c r="D33" s="95">
        <f t="shared" si="0"/>
        <v>0.51111111111111107</v>
      </c>
      <c r="E33" s="95">
        <f t="shared" si="1"/>
        <v>2.5555555555555599E-2</v>
      </c>
      <c r="F33" s="109">
        <f t="shared" si="9"/>
        <v>25555.56</v>
      </c>
      <c r="G33" s="152">
        <f t="shared" si="10"/>
        <v>17</v>
      </c>
      <c r="H33" s="412">
        <f t="shared" si="2"/>
        <v>25555.56</v>
      </c>
      <c r="I33" s="127"/>
      <c r="J33" s="127"/>
      <c r="K33" s="142">
        <f t="shared" si="11"/>
        <v>47498</v>
      </c>
      <c r="L33" s="143">
        <f t="shared" si="12"/>
        <v>1000000</v>
      </c>
      <c r="M33" s="144">
        <f t="shared" si="13"/>
        <v>184</v>
      </c>
      <c r="N33" s="144">
        <f t="shared" si="3"/>
        <v>0.51111111111111107</v>
      </c>
      <c r="O33" s="144">
        <f t="shared" si="4"/>
        <v>0.03</v>
      </c>
      <c r="P33" s="143">
        <f t="shared" si="14"/>
        <v>30000</v>
      </c>
      <c r="Q33" s="144" t="s">
        <v>26</v>
      </c>
      <c r="R33" s="412">
        <f t="shared" si="5"/>
        <v>30000</v>
      </c>
      <c r="S33" s="127">
        <f t="shared" si="15"/>
        <v>17</v>
      </c>
      <c r="T33" s="460"/>
    </row>
    <row r="34" spans="1:20">
      <c r="A34" s="108">
        <f t="shared" si="6"/>
        <v>47679</v>
      </c>
      <c r="B34" s="109">
        <f t="shared" si="7"/>
        <v>1000000</v>
      </c>
      <c r="C34" s="95">
        <f t="shared" si="8"/>
        <v>181</v>
      </c>
      <c r="D34" s="95">
        <f t="shared" si="0"/>
        <v>0.50277777777777777</v>
      </c>
      <c r="E34" s="95">
        <f t="shared" si="1"/>
        <v>2.5138888888888902E-2</v>
      </c>
      <c r="F34" s="109">
        <f t="shared" si="9"/>
        <v>25138.89</v>
      </c>
      <c r="G34" s="152">
        <f t="shared" si="10"/>
        <v>18</v>
      </c>
      <c r="H34" s="412">
        <f t="shared" si="2"/>
        <v>25138.89</v>
      </c>
      <c r="I34" s="127"/>
      <c r="J34" s="127"/>
      <c r="K34" s="142">
        <f t="shared" si="11"/>
        <v>47679</v>
      </c>
      <c r="L34" s="143">
        <f t="shared" si="12"/>
        <v>1000000</v>
      </c>
      <c r="M34" s="144">
        <f t="shared" si="13"/>
        <v>181</v>
      </c>
      <c r="N34" s="144">
        <f t="shared" si="3"/>
        <v>0.50277777777777777</v>
      </c>
      <c r="O34" s="144">
        <f t="shared" si="4"/>
        <v>0.03</v>
      </c>
      <c r="P34" s="143">
        <f t="shared" si="14"/>
        <v>30000</v>
      </c>
      <c r="Q34" s="144" t="s">
        <v>26</v>
      </c>
      <c r="R34" s="412">
        <f t="shared" si="5"/>
        <v>30000</v>
      </c>
      <c r="S34" s="127">
        <f t="shared" si="15"/>
        <v>18</v>
      </c>
      <c r="T34" s="460"/>
    </row>
    <row r="35" spans="1:20">
      <c r="A35" s="108">
        <f t="shared" si="6"/>
        <v>47863</v>
      </c>
      <c r="B35" s="109">
        <f t="shared" si="7"/>
        <v>1000000</v>
      </c>
      <c r="C35" s="95">
        <f t="shared" si="8"/>
        <v>184</v>
      </c>
      <c r="D35" s="95">
        <f t="shared" si="0"/>
        <v>0.51111111111111107</v>
      </c>
      <c r="E35" s="95">
        <f t="shared" si="1"/>
        <v>2.5555555555555599E-2</v>
      </c>
      <c r="F35" s="109">
        <f t="shared" si="9"/>
        <v>25555.56</v>
      </c>
      <c r="G35" s="152">
        <f t="shared" si="10"/>
        <v>19</v>
      </c>
      <c r="H35" s="412">
        <f t="shared" si="2"/>
        <v>25555.56</v>
      </c>
      <c r="I35" s="127"/>
      <c r="J35" s="127"/>
      <c r="K35" s="142">
        <f t="shared" si="11"/>
        <v>47863</v>
      </c>
      <c r="L35" s="143">
        <f t="shared" si="12"/>
        <v>1000000</v>
      </c>
      <c r="M35" s="144">
        <f t="shared" si="13"/>
        <v>184</v>
      </c>
      <c r="N35" s="144">
        <f t="shared" si="3"/>
        <v>0.51111111111111107</v>
      </c>
      <c r="O35" s="144">
        <f t="shared" si="4"/>
        <v>0.03</v>
      </c>
      <c r="P35" s="143">
        <f t="shared" si="14"/>
        <v>30000</v>
      </c>
      <c r="Q35" s="144" t="s">
        <v>26</v>
      </c>
      <c r="R35" s="412">
        <f t="shared" si="5"/>
        <v>30000</v>
      </c>
      <c r="S35" s="127">
        <f t="shared" si="15"/>
        <v>19</v>
      </c>
      <c r="T35" s="460"/>
    </row>
    <row r="36" spans="1:20">
      <c r="A36" s="108">
        <f t="shared" si="6"/>
        <v>48044</v>
      </c>
      <c r="B36" s="109">
        <f t="shared" si="7"/>
        <v>1000000</v>
      </c>
      <c r="C36" s="95">
        <f t="shared" si="8"/>
        <v>181</v>
      </c>
      <c r="D36" s="95">
        <f t="shared" si="0"/>
        <v>0.50277777777777777</v>
      </c>
      <c r="E36" s="95">
        <f t="shared" si="1"/>
        <v>2.5138888888888902E-2</v>
      </c>
      <c r="F36" s="109">
        <f t="shared" si="9"/>
        <v>25138.89</v>
      </c>
      <c r="G36" s="152">
        <f t="shared" si="10"/>
        <v>20</v>
      </c>
      <c r="H36" s="412">
        <f t="shared" si="2"/>
        <v>25138.89</v>
      </c>
      <c r="I36" s="127"/>
      <c r="J36" s="127"/>
      <c r="K36" s="142">
        <f t="shared" si="11"/>
        <v>48044</v>
      </c>
      <c r="L36" s="143">
        <f t="shared" si="12"/>
        <v>1000000</v>
      </c>
      <c r="M36" s="144">
        <f t="shared" si="13"/>
        <v>181</v>
      </c>
      <c r="N36" s="144">
        <f t="shared" si="3"/>
        <v>0.50277777777777777</v>
      </c>
      <c r="O36" s="144">
        <f t="shared" si="4"/>
        <v>0.03</v>
      </c>
      <c r="P36" s="143">
        <f t="shared" si="14"/>
        <v>30000</v>
      </c>
      <c r="Q36" s="144" t="s">
        <v>26</v>
      </c>
      <c r="R36" s="412">
        <f t="shared" si="5"/>
        <v>30000</v>
      </c>
      <c r="S36" s="127">
        <f t="shared" si="15"/>
        <v>20</v>
      </c>
      <c r="T36" s="460"/>
    </row>
    <row r="37" spans="1:20">
      <c r="A37" s="108">
        <f t="shared" si="6"/>
        <v>48228</v>
      </c>
      <c r="B37" s="109">
        <f t="shared" si="7"/>
        <v>1000000</v>
      </c>
      <c r="C37" s="95">
        <f t="shared" si="8"/>
        <v>184</v>
      </c>
      <c r="D37" s="95">
        <f t="shared" si="0"/>
        <v>0.51111111111111107</v>
      </c>
      <c r="E37" s="95">
        <f t="shared" si="1"/>
        <v>2.5555555555555599E-2</v>
      </c>
      <c r="F37" s="109">
        <f t="shared" si="9"/>
        <v>25555.56</v>
      </c>
      <c r="G37" s="152">
        <f t="shared" si="10"/>
        <v>21</v>
      </c>
      <c r="H37" s="412">
        <f t="shared" si="2"/>
        <v>25555.56</v>
      </c>
      <c r="I37" s="127"/>
      <c r="J37" s="127"/>
      <c r="K37" s="142">
        <f t="shared" si="11"/>
        <v>48228</v>
      </c>
      <c r="L37" s="143">
        <f t="shared" si="12"/>
        <v>1000000</v>
      </c>
      <c r="M37" s="144">
        <f t="shared" si="13"/>
        <v>184</v>
      </c>
      <c r="N37" s="144">
        <f t="shared" si="3"/>
        <v>0.51111111111111107</v>
      </c>
      <c r="O37" s="144">
        <f t="shared" si="4"/>
        <v>0.03</v>
      </c>
      <c r="P37" s="143">
        <f t="shared" si="14"/>
        <v>30000</v>
      </c>
      <c r="Q37" s="144" t="s">
        <v>26</v>
      </c>
      <c r="R37" s="412">
        <f t="shared" si="5"/>
        <v>30000</v>
      </c>
      <c r="S37" s="127">
        <f t="shared" si="15"/>
        <v>21</v>
      </c>
      <c r="T37" s="460"/>
    </row>
    <row r="38" spans="1:20">
      <c r="A38" s="108">
        <f t="shared" si="6"/>
        <v>48410</v>
      </c>
      <c r="B38" s="109">
        <f t="shared" si="7"/>
        <v>1000000</v>
      </c>
      <c r="C38" s="95">
        <f t="shared" si="8"/>
        <v>182</v>
      </c>
      <c r="D38" s="95">
        <f t="shared" si="0"/>
        <v>0.50555555555555554</v>
      </c>
      <c r="E38" s="95">
        <f t="shared" si="1"/>
        <v>2.5277777777777798E-2</v>
      </c>
      <c r="F38" s="109">
        <f t="shared" si="9"/>
        <v>25277.78</v>
      </c>
      <c r="G38" s="152">
        <f t="shared" si="10"/>
        <v>22</v>
      </c>
      <c r="H38" s="412">
        <f t="shared" si="2"/>
        <v>25277.78</v>
      </c>
      <c r="I38" s="127"/>
      <c r="J38" s="127"/>
      <c r="K38" s="142">
        <f t="shared" si="11"/>
        <v>48410</v>
      </c>
      <c r="L38" s="143">
        <f t="shared" si="12"/>
        <v>1000000</v>
      </c>
      <c r="M38" s="144">
        <f t="shared" si="13"/>
        <v>182</v>
      </c>
      <c r="N38" s="144">
        <f t="shared" si="3"/>
        <v>0.50555555555555554</v>
      </c>
      <c r="O38" s="144">
        <f t="shared" si="4"/>
        <v>0.03</v>
      </c>
      <c r="P38" s="143">
        <f t="shared" si="14"/>
        <v>30000</v>
      </c>
      <c r="Q38" s="144" t="s">
        <v>26</v>
      </c>
      <c r="R38" s="412">
        <f t="shared" si="5"/>
        <v>30000</v>
      </c>
      <c r="S38" s="127">
        <f t="shared" si="15"/>
        <v>22</v>
      </c>
      <c r="T38" s="460"/>
    </row>
    <row r="39" spans="1:20">
      <c r="A39" s="108">
        <f t="shared" si="6"/>
        <v>48594</v>
      </c>
      <c r="B39" s="109">
        <f t="shared" si="7"/>
        <v>1000000</v>
      </c>
      <c r="C39" s="95">
        <f t="shared" si="8"/>
        <v>184</v>
      </c>
      <c r="D39" s="95">
        <f t="shared" si="0"/>
        <v>0.51111111111111107</v>
      </c>
      <c r="E39" s="95">
        <f t="shared" si="1"/>
        <v>2.5555555555555599E-2</v>
      </c>
      <c r="F39" s="109">
        <f t="shared" si="9"/>
        <v>25555.56</v>
      </c>
      <c r="G39" s="152">
        <f t="shared" si="10"/>
        <v>23</v>
      </c>
      <c r="H39" s="412">
        <f t="shared" si="2"/>
        <v>25555.56</v>
      </c>
      <c r="I39" s="127"/>
      <c r="J39" s="127"/>
      <c r="K39" s="142">
        <f t="shared" si="11"/>
        <v>48594</v>
      </c>
      <c r="L39" s="143">
        <f t="shared" si="12"/>
        <v>1000000</v>
      </c>
      <c r="M39" s="144">
        <f t="shared" si="13"/>
        <v>184</v>
      </c>
      <c r="N39" s="144">
        <f t="shared" si="3"/>
        <v>0.51111111111111107</v>
      </c>
      <c r="O39" s="144">
        <f t="shared" si="4"/>
        <v>0.03</v>
      </c>
      <c r="P39" s="143">
        <f t="shared" si="14"/>
        <v>30000</v>
      </c>
      <c r="Q39" s="144" t="s">
        <v>26</v>
      </c>
      <c r="R39" s="412">
        <f t="shared" si="5"/>
        <v>30000</v>
      </c>
      <c r="S39" s="127">
        <f t="shared" si="15"/>
        <v>23</v>
      </c>
      <c r="T39" s="460"/>
    </row>
    <row r="40" spans="1:20">
      <c r="A40" s="108">
        <f t="shared" si="6"/>
        <v>48775</v>
      </c>
      <c r="B40" s="109">
        <f t="shared" si="7"/>
        <v>1000000</v>
      </c>
      <c r="C40" s="95">
        <f t="shared" si="8"/>
        <v>181</v>
      </c>
      <c r="D40" s="95">
        <f t="shared" si="0"/>
        <v>0.50277777777777777</v>
      </c>
      <c r="E40" s="95">
        <f t="shared" si="1"/>
        <v>2.5138888888888902E-2</v>
      </c>
      <c r="F40" s="109">
        <f t="shared" si="9"/>
        <v>25138.89</v>
      </c>
      <c r="G40" s="152">
        <f t="shared" si="10"/>
        <v>24</v>
      </c>
      <c r="H40" s="412">
        <f t="shared" si="2"/>
        <v>25138.89</v>
      </c>
      <c r="I40" s="127"/>
      <c r="J40" s="127"/>
      <c r="K40" s="142">
        <f t="shared" si="11"/>
        <v>48775</v>
      </c>
      <c r="L40" s="143">
        <f t="shared" si="12"/>
        <v>1000000</v>
      </c>
      <c r="M40" s="144">
        <f t="shared" si="13"/>
        <v>181</v>
      </c>
      <c r="N40" s="144">
        <f t="shared" si="3"/>
        <v>0.50277777777777777</v>
      </c>
      <c r="O40" s="144">
        <f t="shared" si="4"/>
        <v>0.03</v>
      </c>
      <c r="P40" s="143">
        <f t="shared" si="14"/>
        <v>30000</v>
      </c>
      <c r="Q40" s="144" t="s">
        <v>26</v>
      </c>
      <c r="R40" s="412">
        <f t="shared" si="5"/>
        <v>30000</v>
      </c>
      <c r="S40" s="127">
        <f t="shared" si="15"/>
        <v>24</v>
      </c>
      <c r="T40" s="460"/>
    </row>
    <row r="41" spans="1:20">
      <c r="A41" s="108">
        <f t="shared" si="6"/>
        <v>48959</v>
      </c>
      <c r="B41" s="109">
        <f t="shared" si="7"/>
        <v>1000000</v>
      </c>
      <c r="C41" s="95">
        <f t="shared" si="8"/>
        <v>184</v>
      </c>
      <c r="D41" s="95">
        <f t="shared" si="0"/>
        <v>0.51111111111111107</v>
      </c>
      <c r="E41" s="95">
        <f t="shared" si="1"/>
        <v>2.5555555555555599E-2</v>
      </c>
      <c r="F41" s="109">
        <f t="shared" si="9"/>
        <v>25555.56</v>
      </c>
      <c r="G41" s="152">
        <f t="shared" si="10"/>
        <v>25</v>
      </c>
      <c r="H41" s="412">
        <f t="shared" si="2"/>
        <v>25555.56</v>
      </c>
      <c r="I41" s="127"/>
      <c r="J41" s="127"/>
      <c r="K41" s="142">
        <f t="shared" si="11"/>
        <v>48959</v>
      </c>
      <c r="L41" s="143">
        <f t="shared" si="12"/>
        <v>1000000</v>
      </c>
      <c r="M41" s="144">
        <f t="shared" si="13"/>
        <v>184</v>
      </c>
      <c r="N41" s="144">
        <f t="shared" si="3"/>
        <v>0.51111111111111107</v>
      </c>
      <c r="O41" s="144">
        <f t="shared" si="4"/>
        <v>0.03</v>
      </c>
      <c r="P41" s="143">
        <f t="shared" si="14"/>
        <v>30000</v>
      </c>
      <c r="Q41" s="144" t="s">
        <v>26</v>
      </c>
      <c r="R41" s="412">
        <f t="shared" si="5"/>
        <v>30000</v>
      </c>
      <c r="S41" s="127">
        <f t="shared" si="15"/>
        <v>25</v>
      </c>
      <c r="T41" s="460"/>
    </row>
    <row r="42" spans="1:20">
      <c r="A42" s="108">
        <f t="shared" si="6"/>
        <v>49140</v>
      </c>
      <c r="B42" s="109">
        <f t="shared" si="7"/>
        <v>1000000</v>
      </c>
      <c r="C42" s="95">
        <f t="shared" si="8"/>
        <v>181</v>
      </c>
      <c r="D42" s="95">
        <f t="shared" si="0"/>
        <v>0.50277777777777777</v>
      </c>
      <c r="E42" s="95">
        <f t="shared" si="1"/>
        <v>2.5138888888888902E-2</v>
      </c>
      <c r="F42" s="109">
        <f t="shared" si="9"/>
        <v>25138.89</v>
      </c>
      <c r="G42" s="152">
        <f t="shared" si="10"/>
        <v>26</v>
      </c>
      <c r="H42" s="412">
        <f t="shared" si="2"/>
        <v>25138.89</v>
      </c>
      <c r="I42" s="127"/>
      <c r="J42" s="127"/>
      <c r="K42" s="142">
        <f t="shared" si="11"/>
        <v>49140</v>
      </c>
      <c r="L42" s="143">
        <f t="shared" si="12"/>
        <v>1000000</v>
      </c>
      <c r="M42" s="144">
        <f t="shared" si="13"/>
        <v>181</v>
      </c>
      <c r="N42" s="144">
        <f t="shared" si="3"/>
        <v>0.50277777777777777</v>
      </c>
      <c r="O42" s="144">
        <f t="shared" si="4"/>
        <v>0.03</v>
      </c>
      <c r="P42" s="143">
        <f t="shared" si="14"/>
        <v>30000</v>
      </c>
      <c r="Q42" s="144" t="s">
        <v>26</v>
      </c>
      <c r="R42" s="412">
        <f t="shared" si="5"/>
        <v>30000</v>
      </c>
      <c r="S42" s="127">
        <f t="shared" si="15"/>
        <v>26</v>
      </c>
      <c r="T42" s="460"/>
    </row>
    <row r="43" spans="1:20">
      <c r="A43" s="108">
        <f t="shared" si="6"/>
        <v>49324</v>
      </c>
      <c r="B43" s="109">
        <f t="shared" si="7"/>
        <v>1000000</v>
      </c>
      <c r="C43" s="95">
        <f t="shared" si="8"/>
        <v>184</v>
      </c>
      <c r="D43" s="95">
        <f t="shared" si="0"/>
        <v>0.51111111111111107</v>
      </c>
      <c r="E43" s="95">
        <f t="shared" si="1"/>
        <v>2.5555555555555599E-2</v>
      </c>
      <c r="F43" s="109">
        <f t="shared" si="9"/>
        <v>25555.56</v>
      </c>
      <c r="G43" s="152">
        <f t="shared" si="10"/>
        <v>27</v>
      </c>
      <c r="H43" s="412">
        <f t="shared" si="2"/>
        <v>25555.56</v>
      </c>
      <c r="I43" s="127"/>
      <c r="J43" s="127"/>
      <c r="K43" s="142">
        <f t="shared" si="11"/>
        <v>49324</v>
      </c>
      <c r="L43" s="143">
        <f t="shared" si="12"/>
        <v>1000000</v>
      </c>
      <c r="M43" s="144">
        <f t="shared" si="13"/>
        <v>184</v>
      </c>
      <c r="N43" s="144">
        <f t="shared" si="3"/>
        <v>0.51111111111111107</v>
      </c>
      <c r="O43" s="144">
        <f t="shared" si="4"/>
        <v>0.03</v>
      </c>
      <c r="P43" s="143">
        <f t="shared" si="14"/>
        <v>30000</v>
      </c>
      <c r="Q43" s="144" t="s">
        <v>26</v>
      </c>
      <c r="R43" s="412">
        <f t="shared" si="5"/>
        <v>30000</v>
      </c>
      <c r="S43" s="127">
        <f t="shared" si="15"/>
        <v>27</v>
      </c>
      <c r="T43" s="460"/>
    </row>
    <row r="44" spans="1:20">
      <c r="A44" s="108">
        <f t="shared" si="6"/>
        <v>49505</v>
      </c>
      <c r="B44" s="109">
        <f t="shared" si="7"/>
        <v>1000000</v>
      </c>
      <c r="C44" s="95">
        <f t="shared" si="8"/>
        <v>181</v>
      </c>
      <c r="D44" s="95">
        <f t="shared" si="0"/>
        <v>0.50277777777777777</v>
      </c>
      <c r="E44" s="95">
        <f t="shared" si="1"/>
        <v>2.5138888888888902E-2</v>
      </c>
      <c r="F44" s="109">
        <f t="shared" si="9"/>
        <v>25138.89</v>
      </c>
      <c r="G44" s="152">
        <f t="shared" si="10"/>
        <v>28</v>
      </c>
      <c r="H44" s="412">
        <f t="shared" si="2"/>
        <v>25138.89</v>
      </c>
      <c r="I44" s="127"/>
      <c r="J44" s="127"/>
      <c r="K44" s="142">
        <f t="shared" si="11"/>
        <v>49505</v>
      </c>
      <c r="L44" s="143">
        <f t="shared" si="12"/>
        <v>1000000</v>
      </c>
      <c r="M44" s="144">
        <f t="shared" si="13"/>
        <v>181</v>
      </c>
      <c r="N44" s="144">
        <f t="shared" si="3"/>
        <v>0.50277777777777777</v>
      </c>
      <c r="O44" s="144">
        <f t="shared" si="4"/>
        <v>0.03</v>
      </c>
      <c r="P44" s="143">
        <f t="shared" si="14"/>
        <v>30000</v>
      </c>
      <c r="Q44" s="144" t="s">
        <v>26</v>
      </c>
      <c r="R44" s="412">
        <f t="shared" si="5"/>
        <v>30000</v>
      </c>
      <c r="S44" s="127">
        <f t="shared" si="15"/>
        <v>28</v>
      </c>
      <c r="T44" s="460"/>
    </row>
    <row r="45" spans="1:20">
      <c r="A45" s="108">
        <f t="shared" si="6"/>
        <v>49689</v>
      </c>
      <c r="B45" s="109">
        <f t="shared" si="7"/>
        <v>1000000</v>
      </c>
      <c r="C45" s="95">
        <f t="shared" si="8"/>
        <v>184</v>
      </c>
      <c r="D45" s="95">
        <f t="shared" si="0"/>
        <v>0.51111111111111107</v>
      </c>
      <c r="E45" s="95">
        <f t="shared" si="1"/>
        <v>2.5555555555555599E-2</v>
      </c>
      <c r="F45" s="109">
        <f t="shared" si="9"/>
        <v>25555.56</v>
      </c>
      <c r="G45" s="152">
        <f t="shared" si="10"/>
        <v>29</v>
      </c>
      <c r="H45" s="412">
        <f t="shared" si="2"/>
        <v>25555.56</v>
      </c>
      <c r="I45" s="127"/>
      <c r="J45" s="127"/>
      <c r="K45" s="142">
        <f t="shared" si="11"/>
        <v>49689</v>
      </c>
      <c r="L45" s="143">
        <f t="shared" si="12"/>
        <v>1000000</v>
      </c>
      <c r="M45" s="144">
        <f t="shared" si="13"/>
        <v>184</v>
      </c>
      <c r="N45" s="144">
        <f t="shared" si="3"/>
        <v>0.51111111111111107</v>
      </c>
      <c r="O45" s="144">
        <f t="shared" si="4"/>
        <v>0.03</v>
      </c>
      <c r="P45" s="143">
        <f t="shared" si="14"/>
        <v>30000</v>
      </c>
      <c r="Q45" s="144" t="s">
        <v>26</v>
      </c>
      <c r="R45" s="412">
        <f t="shared" si="5"/>
        <v>30000</v>
      </c>
      <c r="S45" s="127">
        <f t="shared" si="15"/>
        <v>29</v>
      </c>
      <c r="T45" s="460"/>
    </row>
    <row r="46" spans="1:20">
      <c r="A46" s="108">
        <f t="shared" si="6"/>
        <v>49871</v>
      </c>
      <c r="B46" s="109">
        <f t="shared" si="7"/>
        <v>1000000</v>
      </c>
      <c r="C46" s="95">
        <f t="shared" si="8"/>
        <v>182</v>
      </c>
      <c r="D46" s="95">
        <f t="shared" si="0"/>
        <v>0.50555555555555554</v>
      </c>
      <c r="E46" s="95">
        <f t="shared" si="1"/>
        <v>2.5277777777777798E-2</v>
      </c>
      <c r="F46" s="109">
        <f t="shared" si="9"/>
        <v>25277.78</v>
      </c>
      <c r="G46" s="152">
        <f t="shared" si="10"/>
        <v>30</v>
      </c>
      <c r="H46" s="412">
        <f t="shared" si="2"/>
        <v>25277.78</v>
      </c>
      <c r="I46" s="127"/>
      <c r="J46" s="127"/>
      <c r="K46" s="142">
        <f t="shared" si="11"/>
        <v>49871</v>
      </c>
      <c r="L46" s="143">
        <f t="shared" si="12"/>
        <v>1000000</v>
      </c>
      <c r="M46" s="144">
        <f t="shared" si="13"/>
        <v>182</v>
      </c>
      <c r="N46" s="144">
        <f t="shared" si="3"/>
        <v>0.50555555555555554</v>
      </c>
      <c r="O46" s="144">
        <f t="shared" si="4"/>
        <v>0.03</v>
      </c>
      <c r="P46" s="143">
        <f t="shared" si="14"/>
        <v>30000</v>
      </c>
      <c r="Q46" s="144" t="s">
        <v>26</v>
      </c>
      <c r="R46" s="412">
        <f t="shared" si="5"/>
        <v>30000</v>
      </c>
      <c r="S46" s="127">
        <f t="shared" si="15"/>
        <v>30</v>
      </c>
      <c r="T46" s="460"/>
    </row>
    <row r="47" spans="1:20">
      <c r="A47" s="118" t="s">
        <v>27</v>
      </c>
      <c r="B47" s="127"/>
      <c r="C47" s="127"/>
      <c r="D47" s="127"/>
      <c r="E47" s="127"/>
      <c r="F47" s="127"/>
      <c r="G47" s="127"/>
      <c r="H47" s="671">
        <f>SUM(H17:H46)</f>
        <v>740416.75000000035</v>
      </c>
      <c r="I47" s="127"/>
      <c r="J47" s="127"/>
      <c r="K47" s="460"/>
      <c r="L47" s="460"/>
      <c r="M47" s="460"/>
      <c r="N47" s="460"/>
      <c r="O47" s="460"/>
      <c r="P47" s="460"/>
      <c r="Q47" s="460"/>
      <c r="R47" s="671">
        <f>SUM(R17:R46)</f>
        <v>880000</v>
      </c>
      <c r="S47" s="460"/>
      <c r="T47" s="460"/>
    </row>
    <row r="48" spans="1:20">
      <c r="A48" s="127"/>
      <c r="B48" s="127"/>
      <c r="C48" s="127"/>
      <c r="D48" s="127"/>
      <c r="E48" s="127"/>
      <c r="F48" s="127"/>
      <c r="G48" s="127"/>
      <c r="H48" s="127"/>
      <c r="I48" s="127"/>
      <c r="J48" s="127"/>
      <c r="K48" s="460"/>
      <c r="L48" s="460"/>
      <c r="M48" s="460"/>
      <c r="N48" s="460"/>
      <c r="O48" s="460"/>
      <c r="P48" s="460"/>
      <c r="Q48" s="460"/>
      <c r="R48" s="460"/>
      <c r="S48" s="460"/>
      <c r="T48" s="460"/>
    </row>
    <row r="49" spans="11:19">
      <c r="K49" s="460"/>
      <c r="L49" s="460"/>
      <c r="M49" s="460"/>
      <c r="N49" s="460"/>
      <c r="O49" s="460"/>
      <c r="P49" s="460"/>
      <c r="Q49" s="460"/>
      <c r="R49" s="460"/>
      <c r="S49" s="460"/>
    </row>
  </sheetData>
  <pageMargins left="0.511811024" right="0.511811024" top="0.78740157499999996" bottom="0.78740157499999996" header="0.31496062000000002" footer="0.31496062000000002"/>
  <pageSetup paperSize="9" orientation="portrait" r:id="rId1"/>
  <ignoredErrors>
    <ignoredError sqref="H18"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AF3ED-066D-4713-91E9-ACD24FC4FB9F}">
  <sheetPr>
    <tabColor theme="5" tint="-0.249977111117893"/>
  </sheetPr>
  <dimension ref="A1:T48"/>
  <sheetViews>
    <sheetView zoomScaleNormal="100" workbookViewId="0">
      <selection activeCell="A5" sqref="A5"/>
    </sheetView>
  </sheetViews>
  <sheetFormatPr defaultRowHeight="14.5"/>
  <cols>
    <col min="1" max="1" width="35.26953125" style="458" bestFit="1" customWidth="1"/>
    <col min="2" max="2" width="15.6328125" style="458" bestFit="1" customWidth="1"/>
    <col min="3" max="3" width="14.1796875" style="459" bestFit="1" customWidth="1"/>
    <col min="4" max="4" width="24.36328125" style="425" bestFit="1" customWidth="1"/>
    <col min="5" max="5" width="4.90625" style="624" bestFit="1" customWidth="1"/>
    <col min="6" max="6" width="13.6328125" style="624" bestFit="1" customWidth="1"/>
    <col min="7" max="7" width="11.81640625" style="458" bestFit="1" customWidth="1"/>
    <col min="8" max="9" width="24.36328125" style="458" bestFit="1" customWidth="1"/>
    <col min="10" max="10" width="21.54296875" style="458" bestFit="1" customWidth="1"/>
    <col min="11" max="11" width="10.453125" style="458" bestFit="1" customWidth="1"/>
    <col min="12" max="12" width="12.54296875" style="1" bestFit="1" customWidth="1"/>
    <col min="13" max="13" width="12.6328125" style="1" bestFit="1" customWidth="1"/>
    <col min="14" max="14" width="5.26953125" style="625" customWidth="1"/>
    <col min="15" max="15" width="10.453125" style="458" bestFit="1" customWidth="1"/>
    <col min="16" max="16" width="31.1796875" style="193" bestFit="1" customWidth="1"/>
    <col min="17" max="16384" width="8.7265625" style="458"/>
  </cols>
  <sheetData>
    <row r="1" spans="1:20">
      <c r="A1" s="524" t="s">
        <v>220</v>
      </c>
      <c r="B1" s="460"/>
      <c r="C1" s="463"/>
      <c r="D1" s="417"/>
      <c r="E1" s="438"/>
      <c r="F1" s="438"/>
      <c r="G1" s="460"/>
      <c r="H1" s="460"/>
      <c r="I1" s="460"/>
      <c r="J1" s="460"/>
      <c r="K1" s="460"/>
      <c r="L1" s="19"/>
      <c r="M1" s="19"/>
      <c r="O1" s="460"/>
      <c r="P1" s="523"/>
      <c r="Q1" s="460"/>
      <c r="R1" s="460"/>
      <c r="S1" s="460"/>
      <c r="T1" s="460"/>
    </row>
    <row r="2" spans="1:20">
      <c r="A2" s="460"/>
      <c r="B2" s="460"/>
      <c r="C2" s="463"/>
      <c r="D2" s="417"/>
      <c r="E2" s="438"/>
      <c r="F2" s="438"/>
      <c r="G2" s="460"/>
      <c r="H2" s="460"/>
      <c r="I2" s="460"/>
      <c r="J2" s="460"/>
      <c r="K2" s="460"/>
      <c r="L2" s="19"/>
      <c r="M2" s="19"/>
      <c r="O2" s="460"/>
      <c r="P2" s="523"/>
      <c r="Q2" s="460"/>
      <c r="R2" s="460"/>
      <c r="S2" s="460"/>
      <c r="T2" s="460"/>
    </row>
    <row r="3" spans="1:20" ht="28.5">
      <c r="A3" s="626" t="s">
        <v>67</v>
      </c>
      <c r="B3" s="169">
        <f>D5</f>
        <v>100000000</v>
      </c>
      <c r="C3" s="170" t="s">
        <v>4</v>
      </c>
      <c r="D3" s="418" t="s">
        <v>66</v>
      </c>
      <c r="E3" s="438"/>
      <c r="F3" s="438"/>
      <c r="G3" s="460"/>
      <c r="H3" s="460"/>
      <c r="I3" s="460"/>
      <c r="J3" s="460"/>
      <c r="K3" s="460"/>
      <c r="L3" s="19"/>
      <c r="M3" s="19"/>
      <c r="O3" s="173" t="s">
        <v>17</v>
      </c>
      <c r="P3" s="174" t="s">
        <v>108</v>
      </c>
      <c r="Q3" s="460"/>
      <c r="R3" s="460"/>
      <c r="S3" s="460"/>
      <c r="T3" s="460"/>
    </row>
    <row r="4" spans="1:20">
      <c r="A4" s="626" t="s">
        <v>92</v>
      </c>
      <c r="B4" s="605">
        <v>0.05</v>
      </c>
      <c r="C4" s="627">
        <v>44788</v>
      </c>
      <c r="D4" s="419">
        <v>100000000</v>
      </c>
      <c r="E4" s="438"/>
      <c r="F4" s="438"/>
      <c r="G4" s="460"/>
      <c r="H4" s="460"/>
      <c r="I4" s="460"/>
      <c r="J4" s="460"/>
      <c r="K4" s="460"/>
      <c r="L4" s="19"/>
      <c r="M4" s="19"/>
      <c r="O4" s="644">
        <v>44788</v>
      </c>
      <c r="P4" s="672">
        <v>4.99587</v>
      </c>
      <c r="Q4" s="460"/>
      <c r="R4" s="460"/>
      <c r="S4" s="460"/>
      <c r="T4" s="460"/>
    </row>
    <row r="5" spans="1:20">
      <c r="A5" s="626" t="s">
        <v>109</v>
      </c>
      <c r="B5" s="608">
        <v>1</v>
      </c>
      <c r="C5" s="176" t="s">
        <v>110</v>
      </c>
      <c r="D5" s="628">
        <f>D4</f>
        <v>100000000</v>
      </c>
      <c r="E5" s="438"/>
      <c r="F5" s="438"/>
      <c r="G5" s="460"/>
      <c r="H5" s="460"/>
      <c r="I5" s="460"/>
      <c r="J5" s="460"/>
      <c r="K5" s="460"/>
      <c r="L5" s="19"/>
      <c r="M5" s="19"/>
      <c r="O5" s="644">
        <v>44819</v>
      </c>
      <c r="P5" s="672">
        <v>5.0556950000000001</v>
      </c>
      <c r="Q5" s="460"/>
      <c r="R5" s="460"/>
      <c r="S5" s="460"/>
      <c r="T5" s="460"/>
    </row>
    <row r="6" spans="1:20">
      <c r="A6" s="626" t="s">
        <v>70</v>
      </c>
      <c r="B6" s="626" t="s">
        <v>111</v>
      </c>
      <c r="C6" s="463"/>
      <c r="D6" s="417"/>
      <c r="E6" s="438"/>
      <c r="F6" s="438"/>
      <c r="G6" s="460"/>
      <c r="H6" s="460"/>
      <c r="I6" s="460"/>
      <c r="J6" s="460"/>
      <c r="K6" s="460"/>
      <c r="L6" s="19"/>
      <c r="M6" s="19"/>
      <c r="O6" s="644">
        <v>44850</v>
      </c>
      <c r="P6" s="672">
        <v>5.0573350000000001</v>
      </c>
      <c r="Q6" s="460"/>
      <c r="R6" s="460"/>
      <c r="S6" s="460"/>
      <c r="T6" s="460"/>
    </row>
    <row r="7" spans="1:20">
      <c r="A7" s="626" t="s">
        <v>112</v>
      </c>
      <c r="B7" s="177">
        <v>360</v>
      </c>
      <c r="C7" s="463"/>
      <c r="D7" s="417"/>
      <c r="E7" s="438"/>
      <c r="F7" s="438"/>
      <c r="G7" s="460"/>
      <c r="H7" s="460"/>
      <c r="I7" s="460"/>
      <c r="J7" s="460"/>
      <c r="K7" s="460"/>
      <c r="L7" s="19"/>
      <c r="M7" s="19"/>
      <c r="O7" s="644">
        <v>44881</v>
      </c>
      <c r="P7" s="672">
        <v>5.0589779999999998</v>
      </c>
      <c r="Q7" s="460"/>
      <c r="R7" s="460"/>
      <c r="S7" s="460"/>
      <c r="T7" s="460"/>
    </row>
    <row r="8" spans="1:20">
      <c r="A8" s="626" t="s">
        <v>113</v>
      </c>
      <c r="B8" s="626" t="s">
        <v>114</v>
      </c>
      <c r="C8" s="463"/>
      <c r="D8" s="417"/>
      <c r="E8" s="438"/>
      <c r="F8" s="438"/>
      <c r="G8" s="460"/>
      <c r="H8" s="460"/>
      <c r="I8" s="460"/>
      <c r="J8" s="460"/>
      <c r="K8" s="460"/>
      <c r="L8" s="19"/>
      <c r="M8" s="19"/>
      <c r="O8" s="644">
        <v>44910</v>
      </c>
      <c r="P8" s="672">
        <v>5.0305150000000003</v>
      </c>
      <c r="Q8" s="460"/>
      <c r="R8" s="460"/>
      <c r="S8" s="460"/>
      <c r="T8" s="460"/>
    </row>
    <row r="9" spans="1:20">
      <c r="A9" s="626" t="s">
        <v>115</v>
      </c>
      <c r="B9" s="613">
        <f>EDATE(C4,1)</f>
        <v>44819</v>
      </c>
      <c r="C9" s="463"/>
      <c r="D9" s="417"/>
      <c r="E9" s="438"/>
      <c r="F9" s="438"/>
      <c r="G9" s="460"/>
      <c r="H9" s="460"/>
      <c r="I9" s="460"/>
      <c r="J9" s="460"/>
      <c r="K9" s="460"/>
      <c r="L9" s="19"/>
      <c r="M9" s="19"/>
      <c r="O9" s="644">
        <v>44941</v>
      </c>
      <c r="P9" s="672">
        <v>5.0319760000000002</v>
      </c>
      <c r="Q9" s="460"/>
      <c r="R9" s="460"/>
      <c r="S9" s="460"/>
      <c r="T9" s="460"/>
    </row>
    <row r="10" spans="1:20">
      <c r="A10" s="470" t="s">
        <v>58</v>
      </c>
      <c r="B10" s="177">
        <v>30</v>
      </c>
      <c r="C10" s="463"/>
      <c r="D10" s="417"/>
      <c r="E10" s="438"/>
      <c r="F10" s="438"/>
      <c r="G10" s="460"/>
      <c r="H10" s="629"/>
      <c r="I10" s="460"/>
      <c r="J10" s="460"/>
      <c r="K10" s="460"/>
      <c r="L10" s="19"/>
      <c r="M10" s="19"/>
      <c r="O10" s="644">
        <v>44972</v>
      </c>
      <c r="P10" s="672">
        <v>5.0335159999999997</v>
      </c>
      <c r="Q10" s="460"/>
      <c r="R10" s="460"/>
      <c r="S10" s="460"/>
      <c r="T10" s="460"/>
    </row>
    <row r="11" spans="1:20">
      <c r="A11" s="460"/>
      <c r="B11" s="460"/>
      <c r="C11" s="463"/>
      <c r="D11" s="417"/>
      <c r="E11" s="438"/>
      <c r="F11" s="438"/>
      <c r="G11" s="460"/>
      <c r="H11" s="460"/>
      <c r="I11" s="460"/>
      <c r="J11" s="460"/>
      <c r="K11" s="460"/>
      <c r="L11" s="19"/>
      <c r="M11" s="19"/>
      <c r="O11" s="644">
        <v>45000</v>
      </c>
      <c r="P11" s="672">
        <v>5.0343359999999997</v>
      </c>
      <c r="Q11" s="460"/>
      <c r="R11" s="460"/>
      <c r="S11" s="460"/>
      <c r="T11" s="460"/>
    </row>
    <row r="12" spans="1:20" ht="40.5" customHeight="1">
      <c r="A12" s="179" t="s">
        <v>4</v>
      </c>
      <c r="B12" s="179" t="s">
        <v>66</v>
      </c>
      <c r="C12" s="179" t="s">
        <v>116</v>
      </c>
      <c r="D12" s="420" t="s">
        <v>117</v>
      </c>
      <c r="E12" s="179" t="s">
        <v>74</v>
      </c>
      <c r="F12" s="179" t="s">
        <v>118</v>
      </c>
      <c r="G12" s="180" t="s">
        <v>20</v>
      </c>
      <c r="H12" s="179" t="s">
        <v>119</v>
      </c>
      <c r="I12" s="181" t="s">
        <v>120</v>
      </c>
      <c r="J12" s="182" t="s">
        <v>121</v>
      </c>
      <c r="K12" s="181" t="s">
        <v>22</v>
      </c>
      <c r="L12" s="183" t="s">
        <v>122</v>
      </c>
      <c r="M12" s="184" t="s">
        <v>80</v>
      </c>
      <c r="O12" s="644">
        <v>45032</v>
      </c>
      <c r="P12" s="672">
        <v>5.0354960000000002</v>
      </c>
      <c r="Q12" s="460"/>
      <c r="R12" s="460"/>
      <c r="S12" s="460"/>
      <c r="T12" s="460"/>
    </row>
    <row r="13" spans="1:20">
      <c r="A13" s="630">
        <f>C4</f>
        <v>44788</v>
      </c>
      <c r="B13" s="426">
        <f>D4</f>
        <v>100000000</v>
      </c>
      <c r="C13" s="207">
        <f>P4</f>
        <v>4.99587</v>
      </c>
      <c r="D13" s="421">
        <f>ROUND(B13/C13,6)</f>
        <v>20016533.656801</v>
      </c>
      <c r="E13" s="439"/>
      <c r="F13" s="439"/>
      <c r="G13" s="631"/>
      <c r="H13" s="209"/>
      <c r="I13" s="210"/>
      <c r="J13" s="210"/>
      <c r="K13" s="211"/>
      <c r="L13" s="212"/>
      <c r="M13" s="212"/>
      <c r="O13" s="644">
        <v>45061</v>
      </c>
      <c r="P13" s="672">
        <v>5.036454</v>
      </c>
      <c r="Q13" s="460"/>
      <c r="R13" s="460"/>
      <c r="S13" s="460"/>
      <c r="T13" s="460"/>
    </row>
    <row r="14" spans="1:20">
      <c r="A14" s="213">
        <f>EDATE(A13,1)</f>
        <v>44819</v>
      </c>
      <c r="B14" s="632"/>
      <c r="C14" s="214">
        <f t="shared" ref="C14:C43" si="0">P5</f>
        <v>5.0556950000000001</v>
      </c>
      <c r="D14" s="422">
        <f t="shared" ref="D14:D43" si="1">ROUND(D13-H14,6)</f>
        <v>19349315.868241001</v>
      </c>
      <c r="E14" s="414">
        <f>A14-A13</f>
        <v>31</v>
      </c>
      <c r="F14" s="414"/>
      <c r="G14" s="415">
        <f>(1+$B$4)^(E14/$B$7)-1</f>
        <v>4.210213398037288E-3</v>
      </c>
      <c r="H14" s="215">
        <f>ROUND(D13/$B$10,6)</f>
        <v>667217.78856000002</v>
      </c>
      <c r="I14" s="216">
        <f>ROUND(G14*D13,6)</f>
        <v>84273.878184000001</v>
      </c>
      <c r="J14" s="217">
        <f t="shared" ref="J14:J43" si="2">I14+H14</f>
        <v>751491.66674400005</v>
      </c>
      <c r="K14" s="218">
        <f t="shared" ref="K14:K43" si="3">ROUND(I14*C14,2)</f>
        <v>426063.02</v>
      </c>
      <c r="L14" s="219">
        <f t="shared" ref="L14:L43" si="4">ROUND(H14*C14,2)</f>
        <v>3373249.64</v>
      </c>
      <c r="M14" s="220">
        <f>K14+L14</f>
        <v>3799312.66</v>
      </c>
      <c r="O14" s="644">
        <v>45092</v>
      </c>
      <c r="P14" s="672">
        <v>5.0374160000000003</v>
      </c>
      <c r="Q14" s="460"/>
      <c r="R14" s="460"/>
      <c r="S14" s="460"/>
      <c r="T14" s="460"/>
    </row>
    <row r="15" spans="1:20">
      <c r="A15" s="185">
        <f t="shared" ref="A15:A43" si="5">EDATE(A14,1)</f>
        <v>44849</v>
      </c>
      <c r="B15" s="460"/>
      <c r="C15" s="186">
        <f t="shared" si="0"/>
        <v>5.0573350000000001</v>
      </c>
      <c r="D15" s="423">
        <f t="shared" si="1"/>
        <v>18682098.079681002</v>
      </c>
      <c r="E15" s="416">
        <f>A15-A14</f>
        <v>30</v>
      </c>
      <c r="F15" s="416">
        <v>30</v>
      </c>
      <c r="G15" s="417">
        <f t="shared" ref="G15:G43" si="6">(1+$B$4)^(E15/$B$7)-1</f>
        <v>4.0741237836483535E-3</v>
      </c>
      <c r="H15" s="187">
        <f>H14</f>
        <v>667217.78856000002</v>
      </c>
      <c r="I15" s="188">
        <f>ROUND(G15*D14,6)</f>
        <v>78831.507975999994</v>
      </c>
      <c r="J15" s="189">
        <f t="shared" si="2"/>
        <v>746049.29653599998</v>
      </c>
      <c r="K15" s="190">
        <f t="shared" si="3"/>
        <v>398677.34</v>
      </c>
      <c r="L15" s="191">
        <f t="shared" si="4"/>
        <v>3374343.87</v>
      </c>
      <c r="M15" s="192">
        <f t="shared" ref="M15:M43" si="7">K15+L15</f>
        <v>3773021.21</v>
      </c>
      <c r="O15" s="644">
        <v>45123</v>
      </c>
      <c r="P15" s="672">
        <v>5.0383779999999998</v>
      </c>
      <c r="Q15" s="460"/>
      <c r="R15" s="460"/>
      <c r="S15" s="460"/>
      <c r="T15" s="460"/>
    </row>
    <row r="16" spans="1:20">
      <c r="A16" s="185">
        <f t="shared" si="5"/>
        <v>44880</v>
      </c>
      <c r="B16" s="460"/>
      <c r="C16" s="186">
        <f t="shared" si="0"/>
        <v>5.0589779999999998</v>
      </c>
      <c r="D16" s="423">
        <f t="shared" si="1"/>
        <v>18014880.291120999</v>
      </c>
      <c r="E16" s="416">
        <f>A16-A15</f>
        <v>31</v>
      </c>
      <c r="F16" s="416">
        <f>F15-1</f>
        <v>29</v>
      </c>
      <c r="G16" s="417">
        <f t="shared" si="6"/>
        <v>4.210213398037288E-3</v>
      </c>
      <c r="H16" s="187">
        <f t="shared" ref="H16:H43" si="8">H15</f>
        <v>667217.78856000002</v>
      </c>
      <c r="I16" s="188">
        <f>ROUND(G16*D15,6)</f>
        <v>78655.619638999997</v>
      </c>
      <c r="J16" s="189">
        <f t="shared" si="2"/>
        <v>745873.40819900006</v>
      </c>
      <c r="K16" s="190">
        <f t="shared" si="3"/>
        <v>397917.05</v>
      </c>
      <c r="L16" s="191">
        <f t="shared" si="4"/>
        <v>3375440.11</v>
      </c>
      <c r="M16" s="192">
        <f t="shared" si="7"/>
        <v>3773357.1599999997</v>
      </c>
      <c r="O16" s="644">
        <v>45153</v>
      </c>
      <c r="P16" s="672">
        <v>5.0395779999999997</v>
      </c>
      <c r="Q16" s="460"/>
      <c r="R16" s="460"/>
      <c r="S16" s="460"/>
      <c r="T16" s="460"/>
    </row>
    <row r="17" spans="1:20">
      <c r="A17" s="185">
        <f t="shared" si="5"/>
        <v>44910</v>
      </c>
      <c r="B17" s="460"/>
      <c r="C17" s="186">
        <f t="shared" si="0"/>
        <v>5.0305150000000003</v>
      </c>
      <c r="D17" s="423">
        <f t="shared" si="1"/>
        <v>17347662.502560999</v>
      </c>
      <c r="E17" s="416">
        <f>A17-A16</f>
        <v>30</v>
      </c>
      <c r="F17" s="416">
        <f t="shared" ref="F17:F43" si="9">F16-1</f>
        <v>28</v>
      </c>
      <c r="G17" s="417">
        <f t="shared" si="6"/>
        <v>4.0741237836483535E-3</v>
      </c>
      <c r="H17" s="187">
        <f t="shared" si="8"/>
        <v>667217.78856000002</v>
      </c>
      <c r="I17" s="188">
        <f t="shared" ref="I17:I43" si="10">ROUND(G17*D16,6)</f>
        <v>73394.852253999998</v>
      </c>
      <c r="J17" s="189">
        <f t="shared" si="2"/>
        <v>740612.64081400004</v>
      </c>
      <c r="K17" s="190">
        <f t="shared" si="3"/>
        <v>369213.91</v>
      </c>
      <c r="L17" s="191">
        <f t="shared" si="4"/>
        <v>3356449.09</v>
      </c>
      <c r="M17" s="192">
        <f t="shared" si="7"/>
        <v>3725663</v>
      </c>
      <c r="O17" s="644">
        <v>45186</v>
      </c>
      <c r="P17" s="672">
        <v>5.0405680000000004</v>
      </c>
      <c r="Q17" s="460"/>
      <c r="R17" s="460"/>
      <c r="S17" s="460"/>
      <c r="T17" s="460"/>
    </row>
    <row r="18" spans="1:20">
      <c r="A18" s="185">
        <f t="shared" si="5"/>
        <v>44941</v>
      </c>
      <c r="B18" s="460"/>
      <c r="C18" s="186">
        <f t="shared" si="0"/>
        <v>5.0319760000000002</v>
      </c>
      <c r="D18" s="423">
        <f t="shared" si="1"/>
        <v>16680444.714001</v>
      </c>
      <c r="E18" s="416">
        <f>A18-A17</f>
        <v>31</v>
      </c>
      <c r="F18" s="416">
        <f t="shared" si="9"/>
        <v>27</v>
      </c>
      <c r="G18" s="417">
        <f t="shared" si="6"/>
        <v>4.210213398037288E-3</v>
      </c>
      <c r="H18" s="187">
        <f t="shared" si="8"/>
        <v>667217.78856000002</v>
      </c>
      <c r="I18" s="188">
        <f t="shared" si="10"/>
        <v>73037.361093</v>
      </c>
      <c r="J18" s="189">
        <f t="shared" si="2"/>
        <v>740255.14965300006</v>
      </c>
      <c r="K18" s="190">
        <f t="shared" si="3"/>
        <v>367522.25</v>
      </c>
      <c r="L18" s="191">
        <f t="shared" si="4"/>
        <v>3357423.9</v>
      </c>
      <c r="M18" s="192">
        <f t="shared" si="7"/>
        <v>3724946.15</v>
      </c>
      <c r="O18" s="644">
        <v>45214</v>
      </c>
      <c r="P18" s="672">
        <v>5.0414159999999999</v>
      </c>
      <c r="Q18" s="460"/>
      <c r="R18" s="460"/>
      <c r="S18" s="460"/>
      <c r="T18" s="460"/>
    </row>
    <row r="19" spans="1:20">
      <c r="A19" s="185">
        <f t="shared" si="5"/>
        <v>44972</v>
      </c>
      <c r="B19" s="460"/>
      <c r="C19" s="186">
        <f t="shared" si="0"/>
        <v>5.0335159999999997</v>
      </c>
      <c r="D19" s="423">
        <f t="shared" si="1"/>
        <v>16013226.925441001</v>
      </c>
      <c r="E19" s="416">
        <f t="shared" ref="E19:E43" si="11">A19-A18</f>
        <v>31</v>
      </c>
      <c r="F19" s="416">
        <f t="shared" si="9"/>
        <v>26</v>
      </c>
      <c r="G19" s="417">
        <f t="shared" si="6"/>
        <v>4.210213398037288E-3</v>
      </c>
      <c r="H19" s="187">
        <f t="shared" si="8"/>
        <v>667217.78856000002</v>
      </c>
      <c r="I19" s="188">
        <f t="shared" si="10"/>
        <v>70228.231820000001</v>
      </c>
      <c r="J19" s="189">
        <f t="shared" si="2"/>
        <v>737446.02038</v>
      </c>
      <c r="K19" s="190">
        <f t="shared" si="3"/>
        <v>353494.93</v>
      </c>
      <c r="L19" s="191">
        <f t="shared" si="4"/>
        <v>3358451.41</v>
      </c>
      <c r="M19" s="192">
        <f t="shared" si="7"/>
        <v>3711946.3400000003</v>
      </c>
      <c r="O19" s="644">
        <v>45246</v>
      </c>
      <c r="P19" s="672">
        <v>5.0430799999999998</v>
      </c>
      <c r="Q19" s="460"/>
      <c r="R19" s="460"/>
      <c r="S19" s="460"/>
      <c r="T19" s="460"/>
    </row>
    <row r="20" spans="1:20">
      <c r="A20" s="185">
        <f t="shared" si="5"/>
        <v>45000</v>
      </c>
      <c r="B20" s="460"/>
      <c r="C20" s="186">
        <f t="shared" si="0"/>
        <v>5.0343359999999997</v>
      </c>
      <c r="D20" s="423">
        <f t="shared" si="1"/>
        <v>15346009.136880999</v>
      </c>
      <c r="E20" s="416">
        <f t="shared" si="11"/>
        <v>28</v>
      </c>
      <c r="F20" s="416">
        <f t="shared" si="9"/>
        <v>25</v>
      </c>
      <c r="G20" s="417">
        <f t="shared" si="6"/>
        <v>3.801999880576945E-3</v>
      </c>
      <c r="H20" s="187">
        <f t="shared" si="8"/>
        <v>667217.78856000002</v>
      </c>
      <c r="I20" s="188">
        <f t="shared" si="10"/>
        <v>60882.286857999999</v>
      </c>
      <c r="J20" s="189">
        <f t="shared" si="2"/>
        <v>728100.07541799999</v>
      </c>
      <c r="K20" s="190">
        <f t="shared" si="3"/>
        <v>306501.89</v>
      </c>
      <c r="L20" s="191">
        <f t="shared" si="4"/>
        <v>3358998.53</v>
      </c>
      <c r="M20" s="192">
        <f t="shared" si="7"/>
        <v>3665500.42</v>
      </c>
      <c r="O20" s="644">
        <v>45277</v>
      </c>
      <c r="P20" s="672">
        <v>5.0446949999999999</v>
      </c>
      <c r="Q20" s="460"/>
      <c r="R20" s="460"/>
      <c r="S20" s="460"/>
      <c r="T20" s="460"/>
    </row>
    <row r="21" spans="1:20">
      <c r="A21" s="185">
        <f t="shared" si="5"/>
        <v>45031</v>
      </c>
      <c r="B21" s="460"/>
      <c r="C21" s="186">
        <f t="shared" si="0"/>
        <v>5.0354960000000002</v>
      </c>
      <c r="D21" s="423">
        <f t="shared" si="1"/>
        <v>14678791.348321</v>
      </c>
      <c r="E21" s="416">
        <f t="shared" si="11"/>
        <v>31</v>
      </c>
      <c r="F21" s="416">
        <f t="shared" si="9"/>
        <v>24</v>
      </c>
      <c r="G21" s="417">
        <f t="shared" si="6"/>
        <v>4.210213398037288E-3</v>
      </c>
      <c r="H21" s="187">
        <f t="shared" si="8"/>
        <v>667217.78856000002</v>
      </c>
      <c r="I21" s="188">
        <f t="shared" si="10"/>
        <v>64609.973274000004</v>
      </c>
      <c r="J21" s="189">
        <f t="shared" si="2"/>
        <v>731827.761834</v>
      </c>
      <c r="K21" s="190">
        <f t="shared" si="3"/>
        <v>325343.26</v>
      </c>
      <c r="L21" s="191">
        <f t="shared" si="4"/>
        <v>3359772.51</v>
      </c>
      <c r="M21" s="192">
        <f t="shared" si="7"/>
        <v>3685115.7699999996</v>
      </c>
      <c r="O21" s="644">
        <v>45306</v>
      </c>
      <c r="P21" s="672">
        <v>5.0465450000000001</v>
      </c>
      <c r="Q21" s="460"/>
      <c r="R21" s="460"/>
      <c r="S21" s="460"/>
      <c r="T21" s="460"/>
    </row>
    <row r="22" spans="1:20">
      <c r="A22" s="185">
        <f t="shared" si="5"/>
        <v>45061</v>
      </c>
      <c r="B22" s="460"/>
      <c r="C22" s="186">
        <f t="shared" si="0"/>
        <v>5.036454</v>
      </c>
      <c r="D22" s="423">
        <f t="shared" si="1"/>
        <v>14011573.559761001</v>
      </c>
      <c r="E22" s="416">
        <f t="shared" si="11"/>
        <v>30</v>
      </c>
      <c r="F22" s="416">
        <f t="shared" si="9"/>
        <v>23</v>
      </c>
      <c r="G22" s="417">
        <f t="shared" si="6"/>
        <v>4.0741237836483535E-3</v>
      </c>
      <c r="H22" s="187">
        <f t="shared" si="8"/>
        <v>667217.78856000002</v>
      </c>
      <c r="I22" s="188">
        <f t="shared" si="10"/>
        <v>59803.212947</v>
      </c>
      <c r="J22" s="189">
        <f t="shared" si="2"/>
        <v>727021.00150700007</v>
      </c>
      <c r="K22" s="190">
        <f t="shared" si="3"/>
        <v>301196.13</v>
      </c>
      <c r="L22" s="191">
        <f t="shared" si="4"/>
        <v>3360411.7</v>
      </c>
      <c r="M22" s="192">
        <f t="shared" si="7"/>
        <v>3661607.83</v>
      </c>
      <c r="O22" s="644">
        <v>45337</v>
      </c>
      <c r="P22" s="672">
        <v>5.0479469999999997</v>
      </c>
      <c r="Q22" s="460"/>
      <c r="R22" s="460"/>
      <c r="S22" s="460"/>
      <c r="T22" s="460"/>
    </row>
    <row r="23" spans="1:20">
      <c r="A23" s="185">
        <f t="shared" si="5"/>
        <v>45092</v>
      </c>
      <c r="B23" s="460"/>
      <c r="C23" s="186">
        <f t="shared" si="0"/>
        <v>5.0374160000000003</v>
      </c>
      <c r="D23" s="423">
        <f t="shared" si="1"/>
        <v>13344355.771201</v>
      </c>
      <c r="E23" s="416">
        <f t="shared" si="11"/>
        <v>31</v>
      </c>
      <c r="F23" s="416">
        <f t="shared" si="9"/>
        <v>22</v>
      </c>
      <c r="G23" s="417">
        <f t="shared" si="6"/>
        <v>4.210213398037288E-3</v>
      </c>
      <c r="H23" s="187">
        <f t="shared" si="8"/>
        <v>667217.78856000002</v>
      </c>
      <c r="I23" s="188">
        <f t="shared" si="10"/>
        <v>58991.714728999999</v>
      </c>
      <c r="J23" s="189">
        <f t="shared" si="2"/>
        <v>726209.50328900001</v>
      </c>
      <c r="K23" s="190">
        <f t="shared" si="3"/>
        <v>297165.81</v>
      </c>
      <c r="L23" s="191">
        <f t="shared" si="4"/>
        <v>3361053.56</v>
      </c>
      <c r="M23" s="192">
        <f t="shared" si="7"/>
        <v>3658219.37</v>
      </c>
      <c r="O23" s="644">
        <v>45366</v>
      </c>
      <c r="P23" s="672">
        <v>5.0494870000000001</v>
      </c>
      <c r="Q23" s="460"/>
      <c r="R23" s="460"/>
      <c r="S23" s="460"/>
      <c r="T23" s="460"/>
    </row>
    <row r="24" spans="1:20">
      <c r="A24" s="185">
        <f t="shared" si="5"/>
        <v>45122</v>
      </c>
      <c r="B24" s="460"/>
      <c r="C24" s="186">
        <f t="shared" si="0"/>
        <v>5.0383779999999998</v>
      </c>
      <c r="D24" s="423">
        <f t="shared" si="1"/>
        <v>12677137.982641</v>
      </c>
      <c r="E24" s="416">
        <f t="shared" si="11"/>
        <v>30</v>
      </c>
      <c r="F24" s="416">
        <f t="shared" si="9"/>
        <v>21</v>
      </c>
      <c r="G24" s="417">
        <f t="shared" si="6"/>
        <v>4.0741237836483535E-3</v>
      </c>
      <c r="H24" s="187">
        <f t="shared" si="8"/>
        <v>667217.78856000002</v>
      </c>
      <c r="I24" s="188">
        <f t="shared" si="10"/>
        <v>54366.557224999997</v>
      </c>
      <c r="J24" s="189">
        <f t="shared" si="2"/>
        <v>721584.34578500001</v>
      </c>
      <c r="K24" s="190">
        <f t="shared" si="3"/>
        <v>273919.27</v>
      </c>
      <c r="L24" s="191">
        <f t="shared" si="4"/>
        <v>3361695.43</v>
      </c>
      <c r="M24" s="192">
        <f t="shared" si="7"/>
        <v>3635614.7</v>
      </c>
      <c r="O24" s="644">
        <v>45397</v>
      </c>
      <c r="P24" s="672">
        <v>5.0506180000000001</v>
      </c>
      <c r="Q24" s="460"/>
      <c r="R24" s="460"/>
      <c r="S24" s="460"/>
      <c r="T24" s="460"/>
    </row>
    <row r="25" spans="1:20">
      <c r="A25" s="185">
        <f t="shared" si="5"/>
        <v>45153</v>
      </c>
      <c r="B25" s="460"/>
      <c r="C25" s="186">
        <f t="shared" si="0"/>
        <v>5.0395779999999997</v>
      </c>
      <c r="D25" s="423">
        <f t="shared" si="1"/>
        <v>12009920.194080999</v>
      </c>
      <c r="E25" s="416">
        <f t="shared" si="11"/>
        <v>31</v>
      </c>
      <c r="F25" s="416">
        <f t="shared" si="9"/>
        <v>20</v>
      </c>
      <c r="G25" s="417">
        <f t="shared" si="6"/>
        <v>4.210213398037288E-3</v>
      </c>
      <c r="H25" s="187">
        <f t="shared" si="8"/>
        <v>667217.78856000002</v>
      </c>
      <c r="I25" s="188">
        <f t="shared" si="10"/>
        <v>53373.456183000002</v>
      </c>
      <c r="J25" s="189">
        <f t="shared" si="2"/>
        <v>720591.24474300002</v>
      </c>
      <c r="K25" s="190">
        <f t="shared" si="3"/>
        <v>268979.7</v>
      </c>
      <c r="L25" s="191">
        <f t="shared" si="4"/>
        <v>3362496.09</v>
      </c>
      <c r="M25" s="192">
        <f t="shared" si="7"/>
        <v>3631475.79</v>
      </c>
      <c r="O25" s="644">
        <v>45427</v>
      </c>
      <c r="P25" s="672">
        <v>5.0510380000000001</v>
      </c>
      <c r="Q25" s="460"/>
      <c r="R25" s="460"/>
      <c r="S25" s="460"/>
      <c r="T25" s="460"/>
    </row>
    <row r="26" spans="1:20">
      <c r="A26" s="185">
        <f t="shared" si="5"/>
        <v>45184</v>
      </c>
      <c r="B26" s="460"/>
      <c r="C26" s="186">
        <f t="shared" si="0"/>
        <v>5.0405680000000004</v>
      </c>
      <c r="D26" s="423">
        <f t="shared" si="1"/>
        <v>11342702.405521</v>
      </c>
      <c r="E26" s="416">
        <f t="shared" si="11"/>
        <v>31</v>
      </c>
      <c r="F26" s="416">
        <f t="shared" si="9"/>
        <v>19</v>
      </c>
      <c r="G26" s="417">
        <f t="shared" si="6"/>
        <v>4.210213398037288E-3</v>
      </c>
      <c r="H26" s="187">
        <f t="shared" si="8"/>
        <v>667217.78856000002</v>
      </c>
      <c r="I26" s="188">
        <f t="shared" si="10"/>
        <v>50564.326910000003</v>
      </c>
      <c r="J26" s="189">
        <f t="shared" si="2"/>
        <v>717782.11547000008</v>
      </c>
      <c r="K26" s="190">
        <f t="shared" si="3"/>
        <v>254872.93</v>
      </c>
      <c r="L26" s="191">
        <f t="shared" si="4"/>
        <v>3363156.63</v>
      </c>
      <c r="M26" s="192">
        <f t="shared" si="7"/>
        <v>3618029.56</v>
      </c>
      <c r="O26" s="644">
        <v>45460</v>
      </c>
      <c r="P26" s="672">
        <v>5.0514999999999999</v>
      </c>
      <c r="Q26" s="460"/>
      <c r="R26" s="460"/>
      <c r="S26" s="460"/>
      <c r="T26" s="460"/>
    </row>
    <row r="27" spans="1:20">
      <c r="A27" s="185">
        <f t="shared" si="5"/>
        <v>45214</v>
      </c>
      <c r="B27" s="460"/>
      <c r="C27" s="186">
        <f t="shared" si="0"/>
        <v>5.0414159999999999</v>
      </c>
      <c r="D27" s="423">
        <f t="shared" si="1"/>
        <v>10675484.616961</v>
      </c>
      <c r="E27" s="416">
        <f t="shared" si="11"/>
        <v>30</v>
      </c>
      <c r="F27" s="416">
        <f t="shared" si="9"/>
        <v>18</v>
      </c>
      <c r="G27" s="417">
        <f t="shared" si="6"/>
        <v>4.0741237836483535E-3</v>
      </c>
      <c r="H27" s="187">
        <f t="shared" si="8"/>
        <v>667217.78856000002</v>
      </c>
      <c r="I27" s="188">
        <f t="shared" si="10"/>
        <v>46211.573641000003</v>
      </c>
      <c r="J27" s="189">
        <f t="shared" si="2"/>
        <v>713429.36220099998</v>
      </c>
      <c r="K27" s="190">
        <f t="shared" si="3"/>
        <v>232971.77</v>
      </c>
      <c r="L27" s="191">
        <f t="shared" si="4"/>
        <v>3363722.43</v>
      </c>
      <c r="M27" s="192">
        <f t="shared" si="7"/>
        <v>3596694.2</v>
      </c>
      <c r="O27" s="644">
        <v>45488</v>
      </c>
      <c r="P27" s="672">
        <v>5.0516959999999997</v>
      </c>
      <c r="Q27" s="460"/>
      <c r="R27" s="460"/>
      <c r="S27" s="460"/>
      <c r="T27" s="460"/>
    </row>
    <row r="28" spans="1:20">
      <c r="A28" s="185">
        <f t="shared" si="5"/>
        <v>45245</v>
      </c>
      <c r="B28" s="460"/>
      <c r="C28" s="186">
        <f t="shared" si="0"/>
        <v>5.0430799999999998</v>
      </c>
      <c r="D28" s="423">
        <f t="shared" si="1"/>
        <v>10008266.828400999</v>
      </c>
      <c r="E28" s="416">
        <f t="shared" si="11"/>
        <v>31</v>
      </c>
      <c r="F28" s="416">
        <f t="shared" si="9"/>
        <v>17</v>
      </c>
      <c r="G28" s="417">
        <f t="shared" si="6"/>
        <v>4.210213398037288E-3</v>
      </c>
      <c r="H28" s="187">
        <f t="shared" si="8"/>
        <v>667217.78856000002</v>
      </c>
      <c r="I28" s="188">
        <f t="shared" si="10"/>
        <v>44946.068364999999</v>
      </c>
      <c r="J28" s="189">
        <f t="shared" si="2"/>
        <v>712163.85692499997</v>
      </c>
      <c r="K28" s="190">
        <f t="shared" si="3"/>
        <v>226666.62</v>
      </c>
      <c r="L28" s="191">
        <f t="shared" si="4"/>
        <v>3364832.69</v>
      </c>
      <c r="M28" s="192">
        <f t="shared" si="7"/>
        <v>3591499.31</v>
      </c>
      <c r="O28" s="644">
        <v>45519</v>
      </c>
      <c r="P28" s="672">
        <v>5.0516959999999997</v>
      </c>
      <c r="Q28" s="460"/>
      <c r="R28" s="460"/>
      <c r="S28" s="460"/>
      <c r="T28" s="460"/>
    </row>
    <row r="29" spans="1:20">
      <c r="A29" s="185">
        <f t="shared" si="5"/>
        <v>45275</v>
      </c>
      <c r="B29" s="460"/>
      <c r="C29" s="186">
        <f t="shared" si="0"/>
        <v>5.0446949999999999</v>
      </c>
      <c r="D29" s="423">
        <f t="shared" si="1"/>
        <v>9341049.039841</v>
      </c>
      <c r="E29" s="416">
        <f t="shared" si="11"/>
        <v>30</v>
      </c>
      <c r="F29" s="416">
        <f t="shared" si="9"/>
        <v>16</v>
      </c>
      <c r="G29" s="417">
        <f t="shared" si="6"/>
        <v>4.0741237836483535E-3</v>
      </c>
      <c r="H29" s="187">
        <f t="shared" si="8"/>
        <v>667217.78856000002</v>
      </c>
      <c r="I29" s="188">
        <f t="shared" si="10"/>
        <v>40774.917919</v>
      </c>
      <c r="J29" s="189">
        <f t="shared" si="2"/>
        <v>707992.70647900004</v>
      </c>
      <c r="K29" s="190">
        <f t="shared" si="3"/>
        <v>205697.02</v>
      </c>
      <c r="L29" s="191">
        <f t="shared" si="4"/>
        <v>3365910.24</v>
      </c>
      <c r="M29" s="192">
        <f t="shared" si="7"/>
        <v>3571607.2600000002</v>
      </c>
      <c r="O29" s="644">
        <v>45551</v>
      </c>
      <c r="P29" s="672">
        <v>5.0517050000000001</v>
      </c>
      <c r="Q29" s="460"/>
      <c r="R29" s="460"/>
      <c r="S29" s="460"/>
      <c r="T29" s="460"/>
    </row>
    <row r="30" spans="1:20">
      <c r="A30" s="185">
        <f t="shared" si="5"/>
        <v>45306</v>
      </c>
      <c r="B30" s="460"/>
      <c r="C30" s="186">
        <f t="shared" si="0"/>
        <v>5.0465450000000001</v>
      </c>
      <c r="D30" s="423">
        <f t="shared" si="1"/>
        <v>8673831.2512810007</v>
      </c>
      <c r="E30" s="416">
        <f t="shared" si="11"/>
        <v>31</v>
      </c>
      <c r="F30" s="416">
        <f t="shared" si="9"/>
        <v>15</v>
      </c>
      <c r="G30" s="417">
        <f t="shared" si="6"/>
        <v>4.210213398037288E-3</v>
      </c>
      <c r="H30" s="187">
        <f t="shared" si="8"/>
        <v>667217.78856000002</v>
      </c>
      <c r="I30" s="188">
        <f t="shared" si="10"/>
        <v>39327.809819000002</v>
      </c>
      <c r="J30" s="189">
        <f t="shared" si="2"/>
        <v>706545.59837899997</v>
      </c>
      <c r="K30" s="190">
        <f t="shared" si="3"/>
        <v>198469.56</v>
      </c>
      <c r="L30" s="191">
        <f t="shared" si="4"/>
        <v>3367144.59</v>
      </c>
      <c r="M30" s="192">
        <f t="shared" si="7"/>
        <v>3565614.15</v>
      </c>
      <c r="O30" s="644">
        <v>45580</v>
      </c>
      <c r="P30" s="672">
        <v>5.0516959999999997</v>
      </c>
      <c r="Q30" s="460"/>
      <c r="R30" s="460"/>
      <c r="S30" s="460"/>
      <c r="T30" s="460"/>
    </row>
    <row r="31" spans="1:20">
      <c r="A31" s="185">
        <f t="shared" si="5"/>
        <v>45337</v>
      </c>
      <c r="B31" s="460"/>
      <c r="C31" s="186">
        <f t="shared" si="0"/>
        <v>5.0479469999999997</v>
      </c>
      <c r="D31" s="423">
        <f t="shared" si="1"/>
        <v>8006613.4627210004</v>
      </c>
      <c r="E31" s="416">
        <f t="shared" si="11"/>
        <v>31</v>
      </c>
      <c r="F31" s="416">
        <f t="shared" si="9"/>
        <v>14</v>
      </c>
      <c r="G31" s="417">
        <f t="shared" si="6"/>
        <v>4.210213398037288E-3</v>
      </c>
      <c r="H31" s="187">
        <f t="shared" si="8"/>
        <v>667217.78856000002</v>
      </c>
      <c r="I31" s="188">
        <f t="shared" si="10"/>
        <v>36518.680546000003</v>
      </c>
      <c r="J31" s="189">
        <f t="shared" si="2"/>
        <v>703736.46910600003</v>
      </c>
      <c r="K31" s="190">
        <f t="shared" si="3"/>
        <v>184344.36</v>
      </c>
      <c r="L31" s="191">
        <f t="shared" si="4"/>
        <v>3368080.03</v>
      </c>
      <c r="M31" s="192">
        <f t="shared" si="7"/>
        <v>3552424.3899999997</v>
      </c>
      <c r="O31" s="644">
        <v>45614</v>
      </c>
      <c r="P31" s="672">
        <v>5.0489699999999997</v>
      </c>
      <c r="Q31" s="460"/>
      <c r="R31" s="460"/>
      <c r="S31" s="460"/>
      <c r="T31" s="460"/>
    </row>
    <row r="32" spans="1:20">
      <c r="A32" s="185">
        <f t="shared" si="5"/>
        <v>45366</v>
      </c>
      <c r="B32" s="460"/>
      <c r="C32" s="186">
        <f t="shared" si="0"/>
        <v>5.0494870000000001</v>
      </c>
      <c r="D32" s="423">
        <f t="shared" si="1"/>
        <v>7339395.6741610002</v>
      </c>
      <c r="E32" s="416">
        <f t="shared" si="11"/>
        <v>29</v>
      </c>
      <c r="F32" s="416">
        <f t="shared" si="9"/>
        <v>13</v>
      </c>
      <c r="G32" s="417">
        <f t="shared" si="6"/>
        <v>3.9380526119947579E-3</v>
      </c>
      <c r="H32" s="187">
        <f t="shared" si="8"/>
        <v>667217.78856000002</v>
      </c>
      <c r="I32" s="188">
        <f t="shared" si="10"/>
        <v>31530.465059999999</v>
      </c>
      <c r="J32" s="189">
        <f t="shared" si="2"/>
        <v>698748.25361999997</v>
      </c>
      <c r="K32" s="190">
        <f t="shared" si="3"/>
        <v>159212.67000000001</v>
      </c>
      <c r="L32" s="191">
        <f t="shared" si="4"/>
        <v>3369107.55</v>
      </c>
      <c r="M32" s="192">
        <f t="shared" si="7"/>
        <v>3528320.2199999997</v>
      </c>
      <c r="O32" s="644">
        <v>45642</v>
      </c>
      <c r="P32" s="672">
        <v>5.0516959999999997</v>
      </c>
      <c r="Q32" s="460"/>
      <c r="R32" s="460"/>
      <c r="S32" s="460"/>
      <c r="T32" s="460"/>
    </row>
    <row r="33" spans="1:20">
      <c r="A33" s="185">
        <f t="shared" si="5"/>
        <v>45397</v>
      </c>
      <c r="B33" s="460"/>
      <c r="C33" s="186">
        <f t="shared" si="0"/>
        <v>5.0506180000000001</v>
      </c>
      <c r="D33" s="423">
        <f t="shared" si="1"/>
        <v>6672177.8856009999</v>
      </c>
      <c r="E33" s="416">
        <f t="shared" si="11"/>
        <v>31</v>
      </c>
      <c r="F33" s="416">
        <f t="shared" si="9"/>
        <v>12</v>
      </c>
      <c r="G33" s="417">
        <f t="shared" si="6"/>
        <v>4.210213398037288E-3</v>
      </c>
      <c r="H33" s="187">
        <f t="shared" si="8"/>
        <v>667217.78856000002</v>
      </c>
      <c r="I33" s="188">
        <f t="shared" si="10"/>
        <v>30900.422000999999</v>
      </c>
      <c r="J33" s="189">
        <f t="shared" si="2"/>
        <v>698118.21056100004</v>
      </c>
      <c r="K33" s="190">
        <f t="shared" si="3"/>
        <v>156066.23000000001</v>
      </c>
      <c r="L33" s="191">
        <f t="shared" si="4"/>
        <v>3369862.17</v>
      </c>
      <c r="M33" s="192">
        <f t="shared" si="7"/>
        <v>3525928.4</v>
      </c>
      <c r="O33" s="644">
        <v>45672</v>
      </c>
      <c r="P33" s="672">
        <v>5.0517000000000003</v>
      </c>
      <c r="Q33" s="460"/>
      <c r="R33" s="460"/>
      <c r="S33" s="460"/>
      <c r="T33" s="460"/>
    </row>
    <row r="34" spans="1:20">
      <c r="A34" s="185">
        <f t="shared" si="5"/>
        <v>45427</v>
      </c>
      <c r="B34" s="460"/>
      <c r="C34" s="186">
        <f t="shared" si="0"/>
        <v>5.0510380000000001</v>
      </c>
      <c r="D34" s="423">
        <f t="shared" si="1"/>
        <v>6004960.0970409997</v>
      </c>
      <c r="E34" s="416">
        <f t="shared" si="11"/>
        <v>30</v>
      </c>
      <c r="F34" s="416">
        <f t="shared" si="9"/>
        <v>11</v>
      </c>
      <c r="G34" s="417">
        <f t="shared" si="6"/>
        <v>4.0741237836483535E-3</v>
      </c>
      <c r="H34" s="187">
        <f t="shared" si="8"/>
        <v>667217.78856000002</v>
      </c>
      <c r="I34" s="188">
        <f t="shared" si="10"/>
        <v>27183.278611999998</v>
      </c>
      <c r="J34" s="189">
        <f t="shared" si="2"/>
        <v>694401.06717200007</v>
      </c>
      <c r="K34" s="190">
        <f t="shared" si="3"/>
        <v>137303.76999999999</v>
      </c>
      <c r="L34" s="191">
        <f t="shared" si="4"/>
        <v>3370142.4</v>
      </c>
      <c r="M34" s="192">
        <f t="shared" si="7"/>
        <v>3507446.17</v>
      </c>
      <c r="O34" s="644">
        <v>45705</v>
      </c>
      <c r="P34" s="672">
        <v>5.0517149999999997</v>
      </c>
      <c r="Q34" s="460"/>
      <c r="R34" s="460"/>
      <c r="S34" s="460"/>
      <c r="T34" s="460"/>
    </row>
    <row r="35" spans="1:20">
      <c r="A35" s="185">
        <f t="shared" si="5"/>
        <v>45458</v>
      </c>
      <c r="B35" s="460"/>
      <c r="C35" s="186">
        <f t="shared" si="0"/>
        <v>5.0514999999999999</v>
      </c>
      <c r="D35" s="423">
        <f t="shared" si="1"/>
        <v>5337742.3084810004</v>
      </c>
      <c r="E35" s="416">
        <f t="shared" si="11"/>
        <v>31</v>
      </c>
      <c r="F35" s="416">
        <f t="shared" si="9"/>
        <v>10</v>
      </c>
      <c r="G35" s="417">
        <f t="shared" si="6"/>
        <v>4.210213398037288E-3</v>
      </c>
      <c r="H35" s="187">
        <f t="shared" si="8"/>
        <v>667217.78856000002</v>
      </c>
      <c r="I35" s="188">
        <f t="shared" si="10"/>
        <v>25282.163455000002</v>
      </c>
      <c r="J35" s="189">
        <f t="shared" si="2"/>
        <v>692499.95201500005</v>
      </c>
      <c r="K35" s="190">
        <f t="shared" si="3"/>
        <v>127712.85</v>
      </c>
      <c r="L35" s="191">
        <f t="shared" si="4"/>
        <v>3370450.66</v>
      </c>
      <c r="M35" s="192">
        <f t="shared" si="7"/>
        <v>3498163.5100000002</v>
      </c>
      <c r="O35" s="644">
        <v>45732</v>
      </c>
      <c r="P35" s="672">
        <v>5.0433500000000002</v>
      </c>
      <c r="Q35" s="460"/>
      <c r="R35" s="460"/>
      <c r="S35" s="460"/>
      <c r="T35" s="460"/>
    </row>
    <row r="36" spans="1:20">
      <c r="A36" s="185">
        <f t="shared" si="5"/>
        <v>45488</v>
      </c>
      <c r="B36" s="460"/>
      <c r="C36" s="186">
        <f t="shared" si="0"/>
        <v>5.0516959999999997</v>
      </c>
      <c r="D36" s="423">
        <f t="shared" si="1"/>
        <v>4670524.5199210001</v>
      </c>
      <c r="E36" s="416">
        <f t="shared" si="11"/>
        <v>30</v>
      </c>
      <c r="F36" s="416">
        <f t="shared" si="9"/>
        <v>9</v>
      </c>
      <c r="G36" s="417">
        <f t="shared" si="6"/>
        <v>4.0741237836483535E-3</v>
      </c>
      <c r="H36" s="187">
        <f t="shared" si="8"/>
        <v>667217.78856000002</v>
      </c>
      <c r="I36" s="188">
        <f t="shared" si="10"/>
        <v>21746.622889999999</v>
      </c>
      <c r="J36" s="189">
        <f t="shared" si="2"/>
        <v>688964.41145000001</v>
      </c>
      <c r="K36" s="190">
        <f t="shared" si="3"/>
        <v>109857.33</v>
      </c>
      <c r="L36" s="191">
        <f t="shared" si="4"/>
        <v>3370581.43</v>
      </c>
      <c r="M36" s="192">
        <f t="shared" si="7"/>
        <v>3480438.7600000002</v>
      </c>
      <c r="O36" s="460"/>
      <c r="P36" s="523"/>
      <c r="Q36" s="460"/>
      <c r="R36" s="460"/>
      <c r="S36" s="460"/>
      <c r="T36" s="460"/>
    </row>
    <row r="37" spans="1:20">
      <c r="A37" s="185">
        <f t="shared" si="5"/>
        <v>45519</v>
      </c>
      <c r="B37" s="460"/>
      <c r="C37" s="186">
        <f t="shared" si="0"/>
        <v>5.0516959999999997</v>
      </c>
      <c r="D37" s="423">
        <f t="shared" si="1"/>
        <v>4003306.7313609999</v>
      </c>
      <c r="E37" s="416">
        <f t="shared" si="11"/>
        <v>31</v>
      </c>
      <c r="F37" s="416">
        <f t="shared" si="9"/>
        <v>8</v>
      </c>
      <c r="G37" s="417">
        <f t="shared" si="6"/>
        <v>4.210213398037288E-3</v>
      </c>
      <c r="H37" s="187">
        <f t="shared" si="8"/>
        <v>667217.78856000002</v>
      </c>
      <c r="I37" s="188">
        <f t="shared" si="10"/>
        <v>19663.904910000001</v>
      </c>
      <c r="J37" s="189">
        <f t="shared" si="2"/>
        <v>686881.69347000006</v>
      </c>
      <c r="K37" s="190">
        <f t="shared" si="3"/>
        <v>99336.07</v>
      </c>
      <c r="L37" s="191">
        <f t="shared" si="4"/>
        <v>3370581.43</v>
      </c>
      <c r="M37" s="192">
        <f t="shared" si="7"/>
        <v>3469917.5</v>
      </c>
      <c r="O37" s="460"/>
      <c r="P37" s="523"/>
      <c r="Q37" s="460"/>
      <c r="R37" s="460"/>
      <c r="S37" s="460"/>
      <c r="T37" s="460"/>
    </row>
    <row r="38" spans="1:20">
      <c r="A38" s="185">
        <f t="shared" si="5"/>
        <v>45550</v>
      </c>
      <c r="B38" s="460"/>
      <c r="C38" s="186">
        <f t="shared" si="0"/>
        <v>5.0517050000000001</v>
      </c>
      <c r="D38" s="423">
        <f t="shared" si="1"/>
        <v>3336088.9428010001</v>
      </c>
      <c r="E38" s="416">
        <f t="shared" si="11"/>
        <v>31</v>
      </c>
      <c r="F38" s="416">
        <f t="shared" si="9"/>
        <v>7</v>
      </c>
      <c r="G38" s="417">
        <f t="shared" si="6"/>
        <v>4.210213398037288E-3</v>
      </c>
      <c r="H38" s="187">
        <f t="shared" si="8"/>
        <v>667217.78856000002</v>
      </c>
      <c r="I38" s="188">
        <f t="shared" si="10"/>
        <v>16854.775636999999</v>
      </c>
      <c r="J38" s="189">
        <f t="shared" si="2"/>
        <v>684072.564197</v>
      </c>
      <c r="K38" s="190">
        <f t="shared" si="3"/>
        <v>85145.35</v>
      </c>
      <c r="L38" s="191">
        <f t="shared" si="4"/>
        <v>3370587.44</v>
      </c>
      <c r="M38" s="192">
        <f t="shared" si="7"/>
        <v>3455732.79</v>
      </c>
      <c r="O38" s="460"/>
      <c r="P38" s="523"/>
      <c r="Q38" s="460"/>
      <c r="R38" s="460"/>
      <c r="S38" s="460"/>
      <c r="T38" s="460"/>
    </row>
    <row r="39" spans="1:20">
      <c r="A39" s="185">
        <f t="shared" si="5"/>
        <v>45580</v>
      </c>
      <c r="B39" s="460"/>
      <c r="C39" s="186">
        <f t="shared" si="0"/>
        <v>5.0516959999999997</v>
      </c>
      <c r="D39" s="423">
        <f t="shared" si="1"/>
        <v>2668871.1542409998</v>
      </c>
      <c r="E39" s="416">
        <f t="shared" si="11"/>
        <v>30</v>
      </c>
      <c r="F39" s="416">
        <f t="shared" si="9"/>
        <v>6</v>
      </c>
      <c r="G39" s="417">
        <f t="shared" si="6"/>
        <v>4.0741237836483535E-3</v>
      </c>
      <c r="H39" s="187">
        <f t="shared" si="8"/>
        <v>667217.78856000002</v>
      </c>
      <c r="I39" s="188">
        <f t="shared" si="10"/>
        <v>13591.639305999999</v>
      </c>
      <c r="J39" s="189">
        <f t="shared" si="2"/>
        <v>680809.42786599998</v>
      </c>
      <c r="K39" s="190">
        <f t="shared" si="3"/>
        <v>68660.83</v>
      </c>
      <c r="L39" s="191">
        <f t="shared" si="4"/>
        <v>3370581.43</v>
      </c>
      <c r="M39" s="192">
        <f t="shared" si="7"/>
        <v>3439242.2600000002</v>
      </c>
      <c r="O39" s="460"/>
      <c r="P39" s="523"/>
      <c r="Q39" s="460"/>
      <c r="R39" s="460"/>
      <c r="S39" s="460"/>
      <c r="T39" s="460"/>
    </row>
    <row r="40" spans="1:20">
      <c r="A40" s="185">
        <f t="shared" si="5"/>
        <v>45611</v>
      </c>
      <c r="B40" s="460"/>
      <c r="C40" s="186">
        <f t="shared" si="0"/>
        <v>5.0489699999999997</v>
      </c>
      <c r="D40" s="423">
        <f t="shared" si="1"/>
        <v>2001653.3656810001</v>
      </c>
      <c r="E40" s="416">
        <f t="shared" si="11"/>
        <v>31</v>
      </c>
      <c r="F40" s="416">
        <f t="shared" si="9"/>
        <v>5</v>
      </c>
      <c r="G40" s="417">
        <f t="shared" si="6"/>
        <v>4.210213398037288E-3</v>
      </c>
      <c r="H40" s="187">
        <f t="shared" si="8"/>
        <v>667217.78856000002</v>
      </c>
      <c r="I40" s="188">
        <f t="shared" si="10"/>
        <v>11236.517091</v>
      </c>
      <c r="J40" s="189">
        <f t="shared" si="2"/>
        <v>678454.305651</v>
      </c>
      <c r="K40" s="190">
        <f t="shared" si="3"/>
        <v>56732.84</v>
      </c>
      <c r="L40" s="191">
        <f t="shared" si="4"/>
        <v>3368762.6</v>
      </c>
      <c r="M40" s="192">
        <f t="shared" si="7"/>
        <v>3425495.44</v>
      </c>
      <c r="O40" s="460"/>
      <c r="P40" s="523"/>
      <c r="Q40" s="460"/>
      <c r="R40" s="460"/>
      <c r="S40" s="460"/>
      <c r="T40" s="460"/>
    </row>
    <row r="41" spans="1:20">
      <c r="A41" s="185">
        <f t="shared" si="5"/>
        <v>45641</v>
      </c>
      <c r="B41" s="460"/>
      <c r="C41" s="186">
        <f t="shared" si="0"/>
        <v>5.0516959999999997</v>
      </c>
      <c r="D41" s="423">
        <f t="shared" si="1"/>
        <v>1334435.577121</v>
      </c>
      <c r="E41" s="416">
        <f t="shared" si="11"/>
        <v>30</v>
      </c>
      <c r="F41" s="416">
        <f t="shared" si="9"/>
        <v>4</v>
      </c>
      <c r="G41" s="417">
        <f t="shared" si="6"/>
        <v>4.0741237836483535E-3</v>
      </c>
      <c r="H41" s="187">
        <f t="shared" si="8"/>
        <v>667217.78856000002</v>
      </c>
      <c r="I41" s="188">
        <f t="shared" si="10"/>
        <v>8154.9835839999996</v>
      </c>
      <c r="J41" s="189">
        <f t="shared" si="2"/>
        <v>675372.77214400005</v>
      </c>
      <c r="K41" s="190">
        <f t="shared" si="3"/>
        <v>41196.5</v>
      </c>
      <c r="L41" s="191">
        <f t="shared" si="4"/>
        <v>3370581.43</v>
      </c>
      <c r="M41" s="192">
        <f t="shared" si="7"/>
        <v>3411777.93</v>
      </c>
      <c r="O41" s="460"/>
      <c r="P41" s="523"/>
      <c r="Q41" s="460"/>
      <c r="R41" s="460"/>
      <c r="S41" s="460"/>
      <c r="T41" s="460"/>
    </row>
    <row r="42" spans="1:20">
      <c r="A42" s="185">
        <f t="shared" si="5"/>
        <v>45672</v>
      </c>
      <c r="B42" s="460"/>
      <c r="C42" s="186">
        <f t="shared" si="0"/>
        <v>5.0517000000000003</v>
      </c>
      <c r="D42" s="423">
        <f t="shared" si="1"/>
        <v>667217.78856100002</v>
      </c>
      <c r="E42" s="416">
        <f t="shared" si="11"/>
        <v>31</v>
      </c>
      <c r="F42" s="416">
        <f t="shared" si="9"/>
        <v>3</v>
      </c>
      <c r="G42" s="417">
        <f t="shared" si="6"/>
        <v>4.210213398037288E-3</v>
      </c>
      <c r="H42" s="187">
        <f t="shared" si="8"/>
        <v>667217.78856000002</v>
      </c>
      <c r="I42" s="188">
        <f t="shared" si="10"/>
        <v>5618.258546</v>
      </c>
      <c r="J42" s="189">
        <f t="shared" si="2"/>
        <v>672836.04710600001</v>
      </c>
      <c r="K42" s="190">
        <f t="shared" si="3"/>
        <v>28381.759999999998</v>
      </c>
      <c r="L42" s="191">
        <f t="shared" si="4"/>
        <v>3370584.1</v>
      </c>
      <c r="M42" s="192">
        <f t="shared" si="7"/>
        <v>3398965.86</v>
      </c>
      <c r="O42" s="460"/>
      <c r="P42" s="523"/>
      <c r="Q42" s="460"/>
      <c r="R42" s="460"/>
      <c r="S42" s="460"/>
      <c r="T42" s="460"/>
    </row>
    <row r="43" spans="1:20">
      <c r="A43" s="185">
        <f t="shared" si="5"/>
        <v>45703</v>
      </c>
      <c r="B43" s="460"/>
      <c r="C43" s="186">
        <f t="shared" si="0"/>
        <v>5.0517149999999997</v>
      </c>
      <c r="D43" s="423">
        <f t="shared" si="1"/>
        <v>9.9999999999999995E-7</v>
      </c>
      <c r="E43" s="416">
        <f t="shared" si="11"/>
        <v>31</v>
      </c>
      <c r="F43" s="416">
        <f t="shared" si="9"/>
        <v>2</v>
      </c>
      <c r="G43" s="417">
        <f t="shared" si="6"/>
        <v>4.210213398037288E-3</v>
      </c>
      <c r="H43" s="187">
        <f t="shared" si="8"/>
        <v>667217.78856000002</v>
      </c>
      <c r="I43" s="188">
        <f t="shared" si="10"/>
        <v>2809.129273</v>
      </c>
      <c r="J43" s="189">
        <f t="shared" si="2"/>
        <v>670026.91783300007</v>
      </c>
      <c r="K43" s="190">
        <f t="shared" si="3"/>
        <v>14190.92</v>
      </c>
      <c r="L43" s="191">
        <f t="shared" si="4"/>
        <v>3370594.11</v>
      </c>
      <c r="M43" s="192">
        <f t="shared" si="7"/>
        <v>3384785.03</v>
      </c>
      <c r="O43" s="460"/>
      <c r="P43" s="523"/>
      <c r="Q43" s="460"/>
      <c r="R43" s="460"/>
      <c r="S43" s="460"/>
      <c r="T43" s="460"/>
    </row>
    <row r="44" spans="1:20" ht="9.65" customHeight="1">
      <c r="A44" s="460"/>
      <c r="B44" s="460"/>
      <c r="C44" s="463"/>
      <c r="D44" s="423"/>
      <c r="E44" s="438"/>
      <c r="F44" s="438"/>
      <c r="G44" s="460"/>
      <c r="H44" s="460"/>
      <c r="I44" s="460"/>
      <c r="J44" s="460"/>
      <c r="K44" s="460"/>
      <c r="L44" s="19"/>
      <c r="M44" s="19"/>
      <c r="O44" s="460"/>
      <c r="P44" s="523"/>
      <c r="Q44" s="460"/>
      <c r="R44" s="460"/>
      <c r="S44" s="460"/>
      <c r="T44" s="460"/>
    </row>
    <row r="45" spans="1:20">
      <c r="D45" s="424"/>
    </row>
    <row r="46" spans="1:20">
      <c r="D46" s="424"/>
    </row>
    <row r="47" spans="1:20">
      <c r="D47" s="424"/>
    </row>
    <row r="48" spans="1:20">
      <c r="D48" s="424"/>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8135D-2316-4A20-88FD-F6BD6257C68F}">
  <sheetPr>
    <tabColor theme="9" tint="0.39997558519241921"/>
  </sheetPr>
  <dimension ref="A1:N47"/>
  <sheetViews>
    <sheetView zoomScaleNormal="100" workbookViewId="0">
      <selection activeCell="A6" sqref="A6"/>
    </sheetView>
  </sheetViews>
  <sheetFormatPr defaultRowHeight="14.5"/>
  <cols>
    <col min="1" max="1" width="17.1796875" style="458" customWidth="1"/>
    <col min="2" max="2" width="16.54296875" style="458" customWidth="1"/>
    <col min="3" max="3" width="11.26953125" style="458" customWidth="1"/>
    <col min="4" max="4" width="12.54296875" style="458" customWidth="1"/>
    <col min="5" max="5" width="14.81640625" style="458" bestFit="1" customWidth="1"/>
    <col min="6" max="6" width="14.54296875" style="624" customWidth="1"/>
    <col min="7" max="7" width="17" style="458" customWidth="1"/>
    <col min="8" max="8" width="12.1796875" style="458" customWidth="1"/>
    <col min="9" max="9" width="10.26953125" style="624" customWidth="1"/>
    <col min="10" max="10" width="13.54296875" style="458" bestFit="1" customWidth="1"/>
    <col min="11" max="11" width="13.81640625" style="1" bestFit="1" customWidth="1"/>
    <col min="12" max="12" width="8.7265625" style="458"/>
    <col min="13" max="13" width="11.26953125" style="458" bestFit="1" customWidth="1"/>
    <col min="14" max="14" width="26.26953125" style="193" bestFit="1" customWidth="1"/>
    <col min="15" max="16384" width="8.7265625" style="458"/>
  </cols>
  <sheetData>
    <row r="1" spans="1:14">
      <c r="A1" s="15" t="s">
        <v>221</v>
      </c>
      <c r="B1" s="460"/>
      <c r="C1" s="460"/>
      <c r="D1" s="460"/>
      <c r="E1" s="460"/>
      <c r="F1" s="438"/>
      <c r="G1" s="460"/>
      <c r="H1" s="460"/>
      <c r="I1" s="438"/>
      <c r="J1" s="460"/>
      <c r="K1" s="19"/>
      <c r="L1" s="460"/>
      <c r="M1" s="460"/>
      <c r="N1" s="523"/>
    </row>
    <row r="2" spans="1:14">
      <c r="A2" s="460"/>
      <c r="B2" s="460"/>
      <c r="C2" s="460"/>
      <c r="D2" s="460"/>
      <c r="E2" s="460"/>
      <c r="F2" s="438"/>
      <c r="G2" s="460"/>
      <c r="H2" s="460"/>
      <c r="I2" s="438"/>
      <c r="J2" s="460"/>
      <c r="K2" s="19"/>
      <c r="L2" s="460"/>
      <c r="M2" s="460"/>
      <c r="N2" s="523"/>
    </row>
    <row r="3" spans="1:14">
      <c r="A3" s="460"/>
      <c r="B3" s="460"/>
      <c r="C3" s="460"/>
      <c r="D3" s="460"/>
      <c r="E3" s="460"/>
      <c r="F3" s="438"/>
      <c r="G3" s="460"/>
      <c r="H3" s="460"/>
      <c r="I3" s="438"/>
      <c r="J3" s="460"/>
      <c r="K3" s="19"/>
      <c r="L3" s="460"/>
      <c r="M3" s="460"/>
      <c r="N3" s="523"/>
    </row>
    <row r="4" spans="1:14">
      <c r="A4" s="177" t="s">
        <v>67</v>
      </c>
      <c r="B4" s="169">
        <f>G6</f>
        <v>100000000</v>
      </c>
      <c r="C4" s="206"/>
      <c r="D4" s="460"/>
      <c r="E4" s="460"/>
      <c r="F4" s="171" t="s">
        <v>4</v>
      </c>
      <c r="G4" s="171" t="s">
        <v>66</v>
      </c>
      <c r="H4" s="460"/>
      <c r="I4" s="438"/>
      <c r="J4" s="460"/>
      <c r="K4" s="19"/>
      <c r="L4" s="460"/>
      <c r="M4" s="173" t="s">
        <v>4</v>
      </c>
      <c r="N4" s="194" t="s">
        <v>123</v>
      </c>
    </row>
    <row r="5" spans="1:14">
      <c r="A5" s="177" t="s">
        <v>92</v>
      </c>
      <c r="B5" s="605">
        <v>0.05</v>
      </c>
      <c r="C5" s="606"/>
      <c r="D5" s="460"/>
      <c r="E5" s="460"/>
      <c r="F5" s="607">
        <v>44788</v>
      </c>
      <c r="G5" s="197">
        <v>100000000</v>
      </c>
      <c r="H5" s="460"/>
      <c r="I5" s="438"/>
      <c r="J5" s="460"/>
      <c r="K5" s="19"/>
      <c r="L5" s="460"/>
      <c r="M5" s="472">
        <v>42962</v>
      </c>
      <c r="N5" s="175">
        <v>2.0240490000000002</v>
      </c>
    </row>
    <row r="6" spans="1:14">
      <c r="A6" s="177" t="s">
        <v>109</v>
      </c>
      <c r="B6" s="608">
        <v>1</v>
      </c>
      <c r="C6" s="609"/>
      <c r="D6" s="460"/>
      <c r="E6" s="673"/>
      <c r="F6" s="674" t="s">
        <v>110</v>
      </c>
      <c r="G6" s="199">
        <f>G5</f>
        <v>100000000</v>
      </c>
      <c r="H6" s="460"/>
      <c r="I6" s="438"/>
      <c r="J6" s="460"/>
      <c r="K6" s="19"/>
      <c r="L6" s="460"/>
      <c r="M6" s="472">
        <v>42993</v>
      </c>
      <c r="N6" s="175">
        <v>2.0256919999999998</v>
      </c>
    </row>
    <row r="7" spans="1:14">
      <c r="A7" s="177" t="s">
        <v>124</v>
      </c>
      <c r="B7" s="608" t="s">
        <v>125</v>
      </c>
      <c r="C7" s="609"/>
      <c r="D7" s="460"/>
      <c r="E7" s="460"/>
      <c r="F7" s="438"/>
      <c r="G7" s="460"/>
      <c r="H7" s="460"/>
      <c r="I7" s="438"/>
      <c r="J7" s="460"/>
      <c r="K7" s="19"/>
      <c r="L7" s="460"/>
      <c r="M7" s="472">
        <v>43024</v>
      </c>
      <c r="N7" s="175">
        <v>2.0273349999999999</v>
      </c>
    </row>
    <row r="8" spans="1:14" ht="29">
      <c r="A8" s="203" t="s">
        <v>112</v>
      </c>
      <c r="B8" s="610">
        <v>360</v>
      </c>
      <c r="C8" s="611"/>
      <c r="D8" s="460"/>
      <c r="E8" s="460"/>
      <c r="F8" s="438"/>
      <c r="G8" s="460"/>
      <c r="H8" s="460"/>
      <c r="I8" s="438"/>
      <c r="J8" s="460"/>
      <c r="K8" s="19"/>
      <c r="L8" s="460"/>
      <c r="M8" s="472">
        <v>43055</v>
      </c>
      <c r="N8" s="175">
        <v>2.0289779999999999</v>
      </c>
    </row>
    <row r="9" spans="1:14" ht="29">
      <c r="A9" s="203" t="s">
        <v>33</v>
      </c>
      <c r="B9" s="612" t="s">
        <v>114</v>
      </c>
      <c r="C9" s="438"/>
      <c r="D9" s="460"/>
      <c r="E9" s="460"/>
      <c r="F9" s="438"/>
      <c r="G9" s="460"/>
      <c r="H9" s="460"/>
      <c r="I9" s="438"/>
      <c r="J9" s="460"/>
      <c r="K9" s="19"/>
      <c r="L9" s="460"/>
      <c r="M9" s="472">
        <v>43084</v>
      </c>
      <c r="N9" s="175">
        <v>2.0305149999999998</v>
      </c>
    </row>
    <row r="10" spans="1:14">
      <c r="A10" s="203" t="s">
        <v>115</v>
      </c>
      <c r="B10" s="613">
        <f>EDATE(F5,1)</f>
        <v>44819</v>
      </c>
      <c r="C10" s="614"/>
      <c r="D10" s="460"/>
      <c r="E10" s="460"/>
      <c r="F10" s="438"/>
      <c r="G10" s="460"/>
      <c r="H10" s="460"/>
      <c r="I10" s="438"/>
      <c r="J10" s="460"/>
      <c r="K10" s="19"/>
      <c r="L10" s="460"/>
      <c r="M10" s="472">
        <v>43115</v>
      </c>
      <c r="N10" s="175">
        <v>2.0319759999999998</v>
      </c>
    </row>
    <row r="11" spans="1:14" ht="29">
      <c r="A11" s="203" t="s">
        <v>58</v>
      </c>
      <c r="B11" s="615">
        <v>30</v>
      </c>
      <c r="C11" s="460"/>
      <c r="D11" s="460"/>
      <c r="E11" s="460"/>
      <c r="F11" s="438"/>
      <c r="G11" s="460"/>
      <c r="H11" s="460"/>
      <c r="I11" s="438"/>
      <c r="J11" s="460"/>
      <c r="K11" s="19"/>
      <c r="L11" s="460"/>
      <c r="M11" s="472">
        <v>43146</v>
      </c>
      <c r="N11" s="175">
        <v>2.0332159999999999</v>
      </c>
    </row>
    <row r="12" spans="1:14">
      <c r="A12" s="200"/>
      <c r="B12" s="460"/>
      <c r="C12" s="460"/>
      <c r="D12" s="460"/>
      <c r="E12" s="460"/>
      <c r="F12" s="438"/>
      <c r="G12" s="460"/>
      <c r="H12" s="460"/>
      <c r="I12" s="438"/>
      <c r="J12" s="460"/>
      <c r="K12" s="19"/>
      <c r="L12" s="460"/>
      <c r="M12" s="472">
        <v>43174</v>
      </c>
      <c r="N12" s="175">
        <v>2.0343360000000001</v>
      </c>
    </row>
    <row r="13" spans="1:14">
      <c r="A13" s="460"/>
      <c r="B13" s="460"/>
      <c r="C13" s="460"/>
      <c r="D13" s="460"/>
      <c r="E13" s="460"/>
      <c r="F13" s="438"/>
      <c r="G13" s="460"/>
      <c r="H13" s="460"/>
      <c r="I13" s="438"/>
      <c r="J13" s="460"/>
      <c r="K13" s="19"/>
      <c r="L13" s="460"/>
      <c r="M13" s="472">
        <v>43206</v>
      </c>
      <c r="N13" s="175">
        <v>2.0354960000000002</v>
      </c>
    </row>
    <row r="14" spans="1:14" ht="50.5" customHeight="1">
      <c r="A14" s="179" t="s">
        <v>4</v>
      </c>
      <c r="B14" s="179" t="s">
        <v>6</v>
      </c>
      <c r="C14" s="179" t="s">
        <v>123</v>
      </c>
      <c r="D14" s="179" t="s">
        <v>126</v>
      </c>
      <c r="E14" s="179" t="s">
        <v>18</v>
      </c>
      <c r="F14" s="179" t="s">
        <v>74</v>
      </c>
      <c r="G14" s="179" t="s">
        <v>20</v>
      </c>
      <c r="H14" s="181" t="s">
        <v>100</v>
      </c>
      <c r="I14" s="616" t="s">
        <v>118</v>
      </c>
      <c r="J14" s="179" t="s">
        <v>75</v>
      </c>
      <c r="K14" s="183" t="s">
        <v>80</v>
      </c>
      <c r="L14" s="460"/>
      <c r="M14" s="472">
        <v>43235</v>
      </c>
      <c r="N14" s="175">
        <v>2.0364239999999998</v>
      </c>
    </row>
    <row r="15" spans="1:14">
      <c r="A15" s="90">
        <f>F5</f>
        <v>44788</v>
      </c>
      <c r="B15" s="226">
        <f>G5</f>
        <v>100000000</v>
      </c>
      <c r="C15" s="224">
        <f>N5</f>
        <v>2.0240490000000002</v>
      </c>
      <c r="D15" s="89"/>
      <c r="E15" s="223">
        <f>B15</f>
        <v>100000000</v>
      </c>
      <c r="F15" s="227"/>
      <c r="G15" s="89"/>
      <c r="H15" s="89"/>
      <c r="I15" s="227"/>
      <c r="J15" s="89"/>
      <c r="K15" s="88"/>
      <c r="L15" s="460"/>
      <c r="M15" s="472">
        <v>43266</v>
      </c>
      <c r="N15" s="175">
        <v>2.0374159999999999</v>
      </c>
    </row>
    <row r="16" spans="1:14">
      <c r="A16" s="80">
        <f>EDATE(A15,$B$6)</f>
        <v>44819</v>
      </c>
      <c r="B16" s="617"/>
      <c r="C16" s="618">
        <f>N6</f>
        <v>2.0256919999999998</v>
      </c>
      <c r="D16" s="619">
        <f>C16/C15</f>
        <v>1.0008117392414906</v>
      </c>
      <c r="E16" s="620">
        <f>ROUND(E15*D16-J16,2)</f>
        <v>96745134.790000007</v>
      </c>
      <c r="F16" s="440">
        <f>A16-A15</f>
        <v>31</v>
      </c>
      <c r="G16" s="617">
        <f>(1+$B$5)^(F16/$B$8)-1</f>
        <v>4.210213398037288E-3</v>
      </c>
      <c r="H16" s="620">
        <f>G16*E15*D16</f>
        <v>421363.09934675245</v>
      </c>
      <c r="I16" s="440">
        <f>$B$11</f>
        <v>30</v>
      </c>
      <c r="J16" s="620">
        <f>ROUND((E15*D16)/I16,2)</f>
        <v>3336039.13</v>
      </c>
      <c r="K16" s="81">
        <f>J16+H16</f>
        <v>3757402.2293467522</v>
      </c>
      <c r="L16" s="460"/>
      <c r="M16" s="472">
        <v>43297</v>
      </c>
      <c r="N16" s="175">
        <v>2.0383779999999998</v>
      </c>
    </row>
    <row r="17" spans="1:14">
      <c r="A17" s="185">
        <f t="shared" ref="A17:A45" si="0">EDATE(A16,$B$6)</f>
        <v>44849</v>
      </c>
      <c r="B17" s="460"/>
      <c r="C17" s="621">
        <f>N7</f>
        <v>2.0273349999999999</v>
      </c>
      <c r="D17" s="622">
        <f>C17/C16</f>
        <v>1.0008110808553323</v>
      </c>
      <c r="E17" s="623">
        <f t="shared" ref="E17:E45" si="1">ROUND(E16*D17-J17,2)</f>
        <v>93484857.989999995</v>
      </c>
      <c r="F17" s="438">
        <f t="shared" ref="F17:F45" si="2">A17-A16</f>
        <v>30</v>
      </c>
      <c r="G17" s="460">
        <f t="shared" ref="G17:G45" si="3">(1+$B$5)^(F17/$B$8)-1</f>
        <v>4.0741237836483535E-3</v>
      </c>
      <c r="H17" s="623">
        <f>G17*E16*D17</f>
        <v>394471.34346134856</v>
      </c>
      <c r="I17" s="438">
        <f>I16-1</f>
        <v>29</v>
      </c>
      <c r="J17" s="623">
        <f>ROUND((E16*D17)/I17,2)</f>
        <v>3338744.93</v>
      </c>
      <c r="K17" s="202">
        <f>H17+J17</f>
        <v>3733216.2734613488</v>
      </c>
      <c r="L17" s="460"/>
      <c r="M17" s="472">
        <v>43327</v>
      </c>
      <c r="N17" s="175">
        <v>2.0392779999999999</v>
      </c>
    </row>
    <row r="18" spans="1:14">
      <c r="A18" s="185">
        <f t="shared" si="0"/>
        <v>44880</v>
      </c>
      <c r="B18" s="460"/>
      <c r="C18" s="621">
        <f>N8</f>
        <v>2.0289779999999999</v>
      </c>
      <c r="D18" s="622">
        <f>C18/C17</f>
        <v>1.0008104235363173</v>
      </c>
      <c r="E18" s="623">
        <f t="shared" si="1"/>
        <v>90219169.590000004</v>
      </c>
      <c r="F18" s="438">
        <f t="shared" si="2"/>
        <v>31</v>
      </c>
      <c r="G18" s="460">
        <f t="shared" si="3"/>
        <v>4.210213398037288E-3</v>
      </c>
      <c r="H18" s="623">
        <f>G18*E17*D18</f>
        <v>393910.17719659401</v>
      </c>
      <c r="I18" s="438">
        <f t="shared" ref="I18:I45" si="4">I17-1</f>
        <v>28</v>
      </c>
      <c r="J18" s="623">
        <f t="shared" ref="J18:J45" si="5">ROUND((E17*D18)/I18,2)</f>
        <v>3341450.73</v>
      </c>
      <c r="K18" s="202">
        <f t="shared" ref="K18:K45" si="6">H18+J18</f>
        <v>3735360.9071965939</v>
      </c>
      <c r="L18" s="460"/>
      <c r="M18" s="472">
        <v>43360</v>
      </c>
      <c r="N18" s="175">
        <v>2.0402680000000002</v>
      </c>
    </row>
    <row r="19" spans="1:14">
      <c r="A19" s="185">
        <f t="shared" si="0"/>
        <v>44910</v>
      </c>
      <c r="B19" s="460"/>
      <c r="C19" s="621">
        <f t="shared" ref="C19:C45" si="7">N9</f>
        <v>2.0305149999999998</v>
      </c>
      <c r="D19" s="622">
        <f t="shared" ref="D19:D45" si="8">C19/C18</f>
        <v>1.0007575242314111</v>
      </c>
      <c r="E19" s="623">
        <f t="shared" si="1"/>
        <v>86943530.840000004</v>
      </c>
      <c r="F19" s="438">
        <f t="shared" si="2"/>
        <v>30</v>
      </c>
      <c r="G19" s="460">
        <f t="shared" si="3"/>
        <v>4.0741237836483535E-3</v>
      </c>
      <c r="H19" s="623">
        <f>G19*E18*D19</f>
        <v>367842.50325312925</v>
      </c>
      <c r="I19" s="438">
        <f t="shared" si="4"/>
        <v>27</v>
      </c>
      <c r="J19" s="623">
        <f t="shared" si="5"/>
        <v>3343981.96</v>
      </c>
      <c r="K19" s="202">
        <f t="shared" si="6"/>
        <v>3711824.4632531293</v>
      </c>
      <c r="L19" s="460"/>
      <c r="M19" s="472">
        <v>43388</v>
      </c>
      <c r="N19" s="175">
        <v>2.0414159999999999</v>
      </c>
    </row>
    <row r="20" spans="1:14">
      <c r="A20" s="185">
        <f t="shared" si="0"/>
        <v>44941</v>
      </c>
      <c r="B20" s="460"/>
      <c r="C20" s="621">
        <f t="shared" si="7"/>
        <v>2.0319759999999998</v>
      </c>
      <c r="D20" s="622">
        <f t="shared" si="8"/>
        <v>1.0007195218946916</v>
      </c>
      <c r="E20" s="623">
        <f t="shared" si="1"/>
        <v>83659700.590000004</v>
      </c>
      <c r="F20" s="438">
        <f t="shared" si="2"/>
        <v>31</v>
      </c>
      <c r="G20" s="460">
        <f t="shared" si="3"/>
        <v>4.210213398037288E-3</v>
      </c>
      <c r="H20" s="623">
        <f>G20*E19*D20</f>
        <v>366314.19999365567</v>
      </c>
      <c r="I20" s="438">
        <f t="shared" si="4"/>
        <v>26</v>
      </c>
      <c r="J20" s="623">
        <f t="shared" si="5"/>
        <v>3346388.02</v>
      </c>
      <c r="K20" s="202">
        <f t="shared" si="6"/>
        <v>3712702.2199936556</v>
      </c>
      <c r="L20" s="460"/>
      <c r="M20" s="472">
        <v>43420</v>
      </c>
      <c r="N20" s="175">
        <v>2.0430799999999998</v>
      </c>
    </row>
    <row r="21" spans="1:14">
      <c r="A21" s="185">
        <f t="shared" si="0"/>
        <v>44972</v>
      </c>
      <c r="B21" s="460"/>
      <c r="C21" s="621">
        <f t="shared" si="7"/>
        <v>2.0332159999999999</v>
      </c>
      <c r="D21" s="622">
        <f t="shared" si="8"/>
        <v>1.0006102434280721</v>
      </c>
      <c r="E21" s="623">
        <f t="shared" si="1"/>
        <v>80362323.239999995</v>
      </c>
      <c r="F21" s="438">
        <f t="shared" si="2"/>
        <v>31</v>
      </c>
      <c r="G21" s="460">
        <f t="shared" si="3"/>
        <v>4.210213398037288E-3</v>
      </c>
      <c r="H21" s="623">
        <f t="shared" ref="H21:H45" si="9">G21*E20*D21</f>
        <v>352440.13540860848</v>
      </c>
      <c r="I21" s="438">
        <f t="shared" si="4"/>
        <v>25</v>
      </c>
      <c r="J21" s="623">
        <f t="shared" si="5"/>
        <v>3348430.13</v>
      </c>
      <c r="K21" s="202">
        <f t="shared" si="6"/>
        <v>3700870.2654086081</v>
      </c>
      <c r="L21" s="460"/>
      <c r="M21" s="472">
        <v>43451</v>
      </c>
      <c r="N21" s="175">
        <v>2.044692</v>
      </c>
    </row>
    <row r="22" spans="1:14">
      <c r="A22" s="185">
        <f t="shared" si="0"/>
        <v>45000</v>
      </c>
      <c r="B22" s="460"/>
      <c r="C22" s="621">
        <f t="shared" si="7"/>
        <v>2.0343360000000001</v>
      </c>
      <c r="D22" s="622">
        <f t="shared" si="8"/>
        <v>1.0005508514589696</v>
      </c>
      <c r="E22" s="623">
        <f t="shared" si="1"/>
        <v>77056316.319999993</v>
      </c>
      <c r="F22" s="438">
        <f t="shared" si="2"/>
        <v>28</v>
      </c>
      <c r="G22" s="460">
        <f t="shared" si="3"/>
        <v>3.801999880576945E-3</v>
      </c>
      <c r="H22" s="623">
        <f t="shared" si="9"/>
        <v>305705.84916289645</v>
      </c>
      <c r="I22" s="438">
        <f t="shared" si="4"/>
        <v>24</v>
      </c>
      <c r="J22" s="623">
        <f t="shared" si="5"/>
        <v>3350274.62</v>
      </c>
      <c r="K22" s="202">
        <f t="shared" si="6"/>
        <v>3655980.4691628967</v>
      </c>
      <c r="L22" s="460"/>
      <c r="M22" s="472">
        <v>43480</v>
      </c>
      <c r="N22" s="175">
        <v>2.0462419999999999</v>
      </c>
    </row>
    <row r="23" spans="1:14">
      <c r="A23" s="185">
        <f t="shared" si="0"/>
        <v>45031</v>
      </c>
      <c r="B23" s="460"/>
      <c r="C23" s="621">
        <f t="shared" si="7"/>
        <v>2.0354960000000002</v>
      </c>
      <c r="D23" s="622">
        <f t="shared" si="8"/>
        <v>1.0005702106240071</v>
      </c>
      <c r="E23" s="623">
        <f t="shared" si="1"/>
        <v>73748069.670000002</v>
      </c>
      <c r="F23" s="438">
        <f t="shared" si="2"/>
        <v>31</v>
      </c>
      <c r="G23" s="460">
        <f t="shared" si="3"/>
        <v>4.210213398037288E-3</v>
      </c>
      <c r="H23" s="623">
        <f t="shared" si="9"/>
        <v>324608.52512041142</v>
      </c>
      <c r="I23" s="438">
        <f t="shared" si="4"/>
        <v>23</v>
      </c>
      <c r="J23" s="623">
        <f t="shared" si="5"/>
        <v>3352184.98</v>
      </c>
      <c r="K23" s="202">
        <f t="shared" si="6"/>
        <v>3676793.5051204115</v>
      </c>
      <c r="L23" s="460"/>
      <c r="M23" s="472">
        <v>43511</v>
      </c>
      <c r="N23" s="175">
        <v>2.0479470000000002</v>
      </c>
    </row>
    <row r="24" spans="1:14">
      <c r="A24" s="185">
        <f t="shared" si="0"/>
        <v>45061</v>
      </c>
      <c r="B24" s="460"/>
      <c r="C24" s="621">
        <f t="shared" si="7"/>
        <v>2.0364239999999998</v>
      </c>
      <c r="D24" s="622">
        <f t="shared" si="8"/>
        <v>1.0004559085353151</v>
      </c>
      <c r="E24" s="623">
        <f t="shared" si="1"/>
        <v>70427978.769999996</v>
      </c>
      <c r="F24" s="438">
        <f t="shared" si="2"/>
        <v>30</v>
      </c>
      <c r="G24" s="460">
        <f t="shared" si="3"/>
        <v>4.0741237836483535E-3</v>
      </c>
      <c r="H24" s="623">
        <f t="shared" si="9"/>
        <v>300595.74635601271</v>
      </c>
      <c r="I24" s="438">
        <f t="shared" si="4"/>
        <v>22</v>
      </c>
      <c r="J24" s="623">
        <f t="shared" si="5"/>
        <v>3353713.27</v>
      </c>
      <c r="K24" s="202">
        <f t="shared" si="6"/>
        <v>3654309.0163560128</v>
      </c>
      <c r="L24" s="460"/>
      <c r="M24" s="472">
        <v>43539</v>
      </c>
      <c r="N24" s="175">
        <v>2.0494870000000001</v>
      </c>
    </row>
    <row r="25" spans="1:14">
      <c r="A25" s="185">
        <f t="shared" si="0"/>
        <v>45092</v>
      </c>
      <c r="B25" s="460"/>
      <c r="C25" s="621">
        <f t="shared" si="7"/>
        <v>2.0374159999999999</v>
      </c>
      <c r="D25" s="622">
        <f t="shared" si="8"/>
        <v>1.0004871284172647</v>
      </c>
      <c r="E25" s="623">
        <f t="shared" si="1"/>
        <v>67106939.280000001</v>
      </c>
      <c r="F25" s="438">
        <f t="shared" si="2"/>
        <v>31</v>
      </c>
      <c r="G25" s="460">
        <f t="shared" si="3"/>
        <v>4.210213398037288E-3</v>
      </c>
      <c r="H25" s="623">
        <f t="shared" si="9"/>
        <v>296661.26158326812</v>
      </c>
      <c r="I25" s="438">
        <f t="shared" si="4"/>
        <v>21</v>
      </c>
      <c r="J25" s="623">
        <f t="shared" si="5"/>
        <v>3355346.96</v>
      </c>
      <c r="K25" s="202">
        <f t="shared" si="6"/>
        <v>3652008.2215832681</v>
      </c>
      <c r="L25" s="460"/>
      <c r="M25" s="472">
        <v>43570</v>
      </c>
      <c r="N25" s="175">
        <v>2.0506180000000001</v>
      </c>
    </row>
    <row r="26" spans="1:14">
      <c r="A26" s="185">
        <f t="shared" si="0"/>
        <v>45122</v>
      </c>
      <c r="B26" s="460"/>
      <c r="C26" s="621">
        <f t="shared" si="7"/>
        <v>2.0383779999999998</v>
      </c>
      <c r="D26" s="622">
        <f t="shared" si="8"/>
        <v>1.0004721667052776</v>
      </c>
      <c r="E26" s="623">
        <f t="shared" si="1"/>
        <v>63781693.689999998</v>
      </c>
      <c r="F26" s="438">
        <f t="shared" si="2"/>
        <v>30</v>
      </c>
      <c r="G26" s="460">
        <f t="shared" si="3"/>
        <v>4.0741237836483535E-3</v>
      </c>
      <c r="H26" s="623">
        <f t="shared" si="9"/>
        <v>273531.0686793644</v>
      </c>
      <c r="I26" s="438">
        <f t="shared" si="4"/>
        <v>20</v>
      </c>
      <c r="J26" s="623">
        <f t="shared" si="5"/>
        <v>3356931.25</v>
      </c>
      <c r="K26" s="202">
        <f t="shared" si="6"/>
        <v>3630462.3186793644</v>
      </c>
      <c r="L26" s="460"/>
      <c r="M26" s="472">
        <v>43600</v>
      </c>
      <c r="N26" s="175">
        <v>2.0510380000000001</v>
      </c>
    </row>
    <row r="27" spans="1:14">
      <c r="A27" s="185">
        <f t="shared" si="0"/>
        <v>45153</v>
      </c>
      <c r="B27" s="460"/>
      <c r="C27" s="621">
        <f t="shared" si="7"/>
        <v>2.0392779999999999</v>
      </c>
      <c r="D27" s="622">
        <f t="shared" si="8"/>
        <v>1.0004415275282603</v>
      </c>
      <c r="E27" s="623">
        <f t="shared" si="1"/>
        <v>60451441.640000001</v>
      </c>
      <c r="F27" s="438">
        <f t="shared" si="2"/>
        <v>31</v>
      </c>
      <c r="G27" s="460">
        <f t="shared" si="3"/>
        <v>4.210213398037288E-3</v>
      </c>
      <c r="H27" s="623">
        <f t="shared" si="9"/>
        <v>268653.10671543126</v>
      </c>
      <c r="I27" s="438">
        <f t="shared" si="4"/>
        <v>19</v>
      </c>
      <c r="J27" s="623">
        <f t="shared" si="5"/>
        <v>3358413.42</v>
      </c>
      <c r="K27" s="202">
        <f t="shared" si="6"/>
        <v>3627066.5267154314</v>
      </c>
      <c r="L27" s="460"/>
      <c r="M27" s="472">
        <v>43633</v>
      </c>
      <c r="N27" s="175">
        <v>2.0514999999999999</v>
      </c>
    </row>
    <row r="28" spans="1:14">
      <c r="A28" s="185">
        <f t="shared" si="0"/>
        <v>45184</v>
      </c>
      <c r="B28" s="460"/>
      <c r="C28" s="621">
        <f t="shared" si="7"/>
        <v>2.0402680000000002</v>
      </c>
      <c r="D28" s="622">
        <f t="shared" si="8"/>
        <v>1.0004854659345122</v>
      </c>
      <c r="E28" s="623">
        <f t="shared" si="1"/>
        <v>57120744.939999998</v>
      </c>
      <c r="F28" s="438">
        <f t="shared" si="2"/>
        <v>31</v>
      </c>
      <c r="G28" s="460">
        <f t="shared" si="3"/>
        <v>4.210213398037288E-3</v>
      </c>
      <c r="H28" s="623">
        <f t="shared" si="9"/>
        <v>254637.02714272533</v>
      </c>
      <c r="I28" s="438">
        <f t="shared" si="4"/>
        <v>18</v>
      </c>
      <c r="J28" s="623">
        <f t="shared" si="5"/>
        <v>3360043.82</v>
      </c>
      <c r="K28" s="202">
        <f t="shared" si="6"/>
        <v>3614680.8471427253</v>
      </c>
      <c r="L28" s="460"/>
      <c r="M28" s="472">
        <v>43661</v>
      </c>
      <c r="N28" s="175">
        <v>2.0516960000000002</v>
      </c>
    </row>
    <row r="29" spans="1:14">
      <c r="A29" s="185">
        <f t="shared" si="0"/>
        <v>45214</v>
      </c>
      <c r="B29" s="460"/>
      <c r="C29" s="621">
        <f t="shared" si="7"/>
        <v>2.0414159999999999</v>
      </c>
      <c r="D29" s="622">
        <f t="shared" si="8"/>
        <v>1.0005626711784921</v>
      </c>
      <c r="E29" s="623">
        <f t="shared" si="1"/>
        <v>53790950.719999999</v>
      </c>
      <c r="F29" s="438">
        <f t="shared" si="2"/>
        <v>30</v>
      </c>
      <c r="G29" s="460">
        <f t="shared" si="3"/>
        <v>4.0741237836483535E-3</v>
      </c>
      <c r="H29" s="623">
        <f t="shared" si="9"/>
        <v>232847.92864025163</v>
      </c>
      <c r="I29" s="438">
        <f t="shared" si="4"/>
        <v>17</v>
      </c>
      <c r="J29" s="623">
        <f t="shared" si="5"/>
        <v>3361934.42</v>
      </c>
      <c r="K29" s="202">
        <f t="shared" si="6"/>
        <v>3594782.3486402514</v>
      </c>
      <c r="L29" s="460"/>
      <c r="M29" s="472">
        <v>43692</v>
      </c>
      <c r="N29" s="175">
        <v>2.0516960000000002</v>
      </c>
    </row>
    <row r="30" spans="1:14">
      <c r="A30" s="185">
        <f t="shared" si="0"/>
        <v>45245</v>
      </c>
      <c r="B30" s="460"/>
      <c r="C30" s="621">
        <f t="shared" si="7"/>
        <v>2.0430799999999998</v>
      </c>
      <c r="D30" s="622">
        <f t="shared" si="8"/>
        <v>1.0008151204849967</v>
      </c>
      <c r="E30" s="623">
        <f t="shared" si="1"/>
        <v>50470122.030000001</v>
      </c>
      <c r="F30" s="438">
        <f t="shared" si="2"/>
        <v>31</v>
      </c>
      <c r="G30" s="460">
        <f t="shared" si="3"/>
        <v>4.210213398037288E-3</v>
      </c>
      <c r="H30" s="623">
        <f t="shared" si="9"/>
        <v>226655.98287676394</v>
      </c>
      <c r="I30" s="438">
        <f t="shared" si="4"/>
        <v>16</v>
      </c>
      <c r="J30" s="623">
        <f t="shared" si="5"/>
        <v>3364674.8</v>
      </c>
      <c r="K30" s="202">
        <f t="shared" si="6"/>
        <v>3591330.782876764</v>
      </c>
      <c r="L30" s="460"/>
      <c r="M30" s="472">
        <v>43724</v>
      </c>
      <c r="N30" s="175">
        <v>2.0517020000000001</v>
      </c>
    </row>
    <row r="31" spans="1:14">
      <c r="A31" s="185">
        <f t="shared" si="0"/>
        <v>45275</v>
      </c>
      <c r="B31" s="460"/>
      <c r="C31" s="621">
        <f t="shared" si="7"/>
        <v>2.044692</v>
      </c>
      <c r="D31" s="622">
        <f t="shared" si="8"/>
        <v>1.0007890048358361</v>
      </c>
      <c r="E31" s="623">
        <f t="shared" si="1"/>
        <v>47142613.649999999</v>
      </c>
      <c r="F31" s="438">
        <f t="shared" si="2"/>
        <v>30</v>
      </c>
      <c r="G31" s="460">
        <f t="shared" si="3"/>
        <v>4.0741237836483535E-3</v>
      </c>
      <c r="H31" s="623">
        <f t="shared" si="9"/>
        <v>205783.76090326079</v>
      </c>
      <c r="I31" s="438">
        <f t="shared" si="4"/>
        <v>15</v>
      </c>
      <c r="J31" s="623">
        <f t="shared" si="5"/>
        <v>3367329.55</v>
      </c>
      <c r="K31" s="202">
        <f t="shared" si="6"/>
        <v>3573113.3109032605</v>
      </c>
      <c r="L31" s="460"/>
      <c r="M31" s="472">
        <v>43753</v>
      </c>
      <c r="N31" s="175">
        <v>2.0516960000000002</v>
      </c>
    </row>
    <row r="32" spans="1:14">
      <c r="A32" s="185">
        <f t="shared" si="0"/>
        <v>45306</v>
      </c>
      <c r="B32" s="460"/>
      <c r="C32" s="621">
        <f t="shared" si="7"/>
        <v>2.0462419999999999</v>
      </c>
      <c r="D32" s="622">
        <f t="shared" si="8"/>
        <v>1.0007580603826884</v>
      </c>
      <c r="E32" s="623">
        <f t="shared" si="1"/>
        <v>43808468.409999996</v>
      </c>
      <c r="F32" s="438">
        <f t="shared" si="2"/>
        <v>31</v>
      </c>
      <c r="G32" s="460">
        <f t="shared" si="3"/>
        <v>4.210213398037288E-3</v>
      </c>
      <c r="H32" s="623">
        <f t="shared" si="9"/>
        <v>198630.9237839242</v>
      </c>
      <c r="I32" s="438">
        <f t="shared" si="4"/>
        <v>14</v>
      </c>
      <c r="J32" s="623">
        <f t="shared" si="5"/>
        <v>3369882.19</v>
      </c>
      <c r="K32" s="202">
        <f t="shared" si="6"/>
        <v>3568513.1137839239</v>
      </c>
      <c r="L32" s="460"/>
      <c r="M32" s="472">
        <v>43787</v>
      </c>
      <c r="N32" s="175">
        <v>2.0489700000000002</v>
      </c>
    </row>
    <row r="33" spans="1:14">
      <c r="A33" s="185">
        <f t="shared" si="0"/>
        <v>45337</v>
      </c>
      <c r="B33" s="460"/>
      <c r="C33" s="621">
        <f t="shared" si="7"/>
        <v>2.0479470000000002</v>
      </c>
      <c r="D33" s="622">
        <f t="shared" si="8"/>
        <v>1.0008332347786821</v>
      </c>
      <c r="E33" s="623">
        <f t="shared" si="1"/>
        <v>40472281.060000002</v>
      </c>
      <c r="F33" s="438">
        <f t="shared" si="2"/>
        <v>31</v>
      </c>
      <c r="G33" s="460">
        <f t="shared" si="3"/>
        <v>4.210213398037288E-3</v>
      </c>
      <c r="H33" s="623">
        <f t="shared" si="9"/>
        <v>184596.68497009907</v>
      </c>
      <c r="I33" s="438">
        <f t="shared" si="4"/>
        <v>13</v>
      </c>
      <c r="J33" s="623">
        <f t="shared" si="5"/>
        <v>3372690.09</v>
      </c>
      <c r="K33" s="202">
        <f t="shared" si="6"/>
        <v>3557286.7749700989</v>
      </c>
      <c r="L33" s="460"/>
      <c r="M33" s="472">
        <v>43815</v>
      </c>
      <c r="N33" s="175">
        <v>2.0516960000000002</v>
      </c>
    </row>
    <row r="34" spans="1:14">
      <c r="A34" s="185">
        <f t="shared" si="0"/>
        <v>45366</v>
      </c>
      <c r="B34" s="460"/>
      <c r="C34" s="621">
        <f t="shared" si="7"/>
        <v>2.0494870000000001</v>
      </c>
      <c r="D34" s="622">
        <f t="shared" si="8"/>
        <v>1.0007519725852281</v>
      </c>
      <c r="E34" s="623">
        <f t="shared" si="1"/>
        <v>37127488.850000001</v>
      </c>
      <c r="F34" s="438">
        <f t="shared" si="2"/>
        <v>29</v>
      </c>
      <c r="G34" s="460">
        <f t="shared" si="3"/>
        <v>3.9380526119947579E-3</v>
      </c>
      <c r="H34" s="623">
        <f t="shared" si="9"/>
        <v>159501.82301534913</v>
      </c>
      <c r="I34" s="438">
        <f t="shared" si="4"/>
        <v>12</v>
      </c>
      <c r="J34" s="623">
        <f t="shared" si="5"/>
        <v>3375226.26</v>
      </c>
      <c r="K34" s="202">
        <f t="shared" si="6"/>
        <v>3534728.0830153488</v>
      </c>
      <c r="L34" s="460"/>
      <c r="M34" s="472">
        <v>43845</v>
      </c>
      <c r="N34" s="175">
        <v>2.0516999999999999</v>
      </c>
    </row>
    <row r="35" spans="1:14">
      <c r="A35" s="185">
        <f t="shared" si="0"/>
        <v>45397</v>
      </c>
      <c r="B35" s="460"/>
      <c r="C35" s="621">
        <f t="shared" si="7"/>
        <v>2.0506180000000001</v>
      </c>
      <c r="D35" s="622">
        <f t="shared" si="8"/>
        <v>1.0005518454130229</v>
      </c>
      <c r="E35" s="623">
        <f t="shared" si="1"/>
        <v>33770888.619999997</v>
      </c>
      <c r="F35" s="438">
        <f t="shared" si="2"/>
        <v>31</v>
      </c>
      <c r="G35" s="460">
        <f t="shared" si="3"/>
        <v>4.210213398037288E-3</v>
      </c>
      <c r="H35" s="623">
        <f t="shared" si="9"/>
        <v>156400.9125148881</v>
      </c>
      <c r="I35" s="438">
        <f t="shared" si="4"/>
        <v>11</v>
      </c>
      <c r="J35" s="623">
        <f t="shared" si="5"/>
        <v>3377088.86</v>
      </c>
      <c r="K35" s="202">
        <f t="shared" si="6"/>
        <v>3533489.7725148881</v>
      </c>
      <c r="L35" s="460"/>
      <c r="M35" s="472">
        <v>43878</v>
      </c>
      <c r="N35" s="175">
        <v>2.0517120000000002</v>
      </c>
    </row>
    <row r="36" spans="1:14">
      <c r="A36" s="185">
        <f t="shared" si="0"/>
        <v>45427</v>
      </c>
      <c r="B36" s="460"/>
      <c r="C36" s="621">
        <f t="shared" si="7"/>
        <v>2.0510380000000001</v>
      </c>
      <c r="D36" s="622">
        <f t="shared" si="8"/>
        <v>1.0002048163041581</v>
      </c>
      <c r="E36" s="623">
        <f t="shared" si="1"/>
        <v>30400024.91</v>
      </c>
      <c r="F36" s="438">
        <f t="shared" si="2"/>
        <v>30</v>
      </c>
      <c r="G36" s="460">
        <f t="shared" si="3"/>
        <v>4.0741237836483535E-3</v>
      </c>
      <c r="H36" s="623">
        <f t="shared" si="9"/>
        <v>137614.96053756896</v>
      </c>
      <c r="I36" s="438">
        <f t="shared" si="4"/>
        <v>10</v>
      </c>
      <c r="J36" s="623">
        <f t="shared" si="5"/>
        <v>3377780.54</v>
      </c>
      <c r="K36" s="202">
        <f t="shared" si="6"/>
        <v>3515395.5005375692</v>
      </c>
      <c r="L36" s="460"/>
      <c r="M36" s="472">
        <v>43906</v>
      </c>
      <c r="N36" s="175">
        <v>2.04332</v>
      </c>
    </row>
    <row r="37" spans="1:14">
      <c r="A37" s="185">
        <f t="shared" si="0"/>
        <v>45458</v>
      </c>
      <c r="B37" s="460"/>
      <c r="C37" s="621">
        <f t="shared" si="7"/>
        <v>2.0514999999999999</v>
      </c>
      <c r="D37" s="622">
        <f t="shared" si="8"/>
        <v>1.0002252517993326</v>
      </c>
      <c r="E37" s="623">
        <f t="shared" si="1"/>
        <v>27028331.170000002</v>
      </c>
      <c r="F37" s="438">
        <f t="shared" si="2"/>
        <v>31</v>
      </c>
      <c r="G37" s="460">
        <f t="shared" si="3"/>
        <v>4.210213398037288E-3</v>
      </c>
      <c r="H37" s="623">
        <f t="shared" si="9"/>
        <v>128019.42228793477</v>
      </c>
      <c r="I37" s="438">
        <f t="shared" si="4"/>
        <v>9</v>
      </c>
      <c r="J37" s="623">
        <f t="shared" si="5"/>
        <v>3378541.4</v>
      </c>
      <c r="K37" s="202">
        <f t="shared" si="6"/>
        <v>3506560.8222879348</v>
      </c>
      <c r="L37" s="460"/>
    </row>
    <row r="38" spans="1:14">
      <c r="A38" s="185">
        <f t="shared" si="0"/>
        <v>45488</v>
      </c>
      <c r="B38" s="460"/>
      <c r="C38" s="621">
        <f t="shared" si="7"/>
        <v>2.0516960000000002</v>
      </c>
      <c r="D38" s="622">
        <f t="shared" si="8"/>
        <v>1.0000955398488911</v>
      </c>
      <c r="E38" s="623">
        <f t="shared" si="1"/>
        <v>23652049.27</v>
      </c>
      <c r="F38" s="438">
        <f t="shared" si="2"/>
        <v>30</v>
      </c>
      <c r="G38" s="460">
        <f t="shared" si="3"/>
        <v>4.0741237836483535E-3</v>
      </c>
      <c r="H38" s="623">
        <f t="shared" si="9"/>
        <v>110127.28739128655</v>
      </c>
      <c r="I38" s="438">
        <f t="shared" si="4"/>
        <v>8</v>
      </c>
      <c r="J38" s="623">
        <f t="shared" si="5"/>
        <v>3378864.18</v>
      </c>
      <c r="K38" s="202">
        <f t="shared" si="6"/>
        <v>3488991.4673912865</v>
      </c>
      <c r="L38" s="460"/>
    </row>
    <row r="39" spans="1:14">
      <c r="A39" s="185">
        <f t="shared" si="0"/>
        <v>45519</v>
      </c>
      <c r="B39" s="460"/>
      <c r="C39" s="621">
        <f t="shared" si="7"/>
        <v>2.0516960000000002</v>
      </c>
      <c r="D39" s="622">
        <f t="shared" si="8"/>
        <v>1</v>
      </c>
      <c r="E39" s="623">
        <f t="shared" si="1"/>
        <v>20273185.09</v>
      </c>
      <c r="F39" s="438">
        <f t="shared" si="2"/>
        <v>31</v>
      </c>
      <c r="G39" s="460">
        <f t="shared" si="3"/>
        <v>4.210213398037288E-3</v>
      </c>
      <c r="H39" s="623">
        <f t="shared" si="9"/>
        <v>99580.17472759205</v>
      </c>
      <c r="I39" s="438">
        <f t="shared" si="4"/>
        <v>7</v>
      </c>
      <c r="J39" s="623">
        <f t="shared" si="5"/>
        <v>3378864.18</v>
      </c>
      <c r="K39" s="202">
        <f t="shared" si="6"/>
        <v>3478444.3547275923</v>
      </c>
      <c r="L39" s="460"/>
    </row>
    <row r="40" spans="1:14">
      <c r="A40" s="185">
        <f t="shared" si="0"/>
        <v>45550</v>
      </c>
      <c r="B40" s="460"/>
      <c r="C40" s="621">
        <f t="shared" si="7"/>
        <v>2.0517020000000001</v>
      </c>
      <c r="D40" s="622">
        <f t="shared" si="8"/>
        <v>1.0000029244098541</v>
      </c>
      <c r="E40" s="623">
        <f t="shared" si="1"/>
        <v>16894370.32</v>
      </c>
      <c r="F40" s="438">
        <f t="shared" si="2"/>
        <v>31</v>
      </c>
      <c r="G40" s="460">
        <f t="shared" si="3"/>
        <v>4.210213398037288E-3</v>
      </c>
      <c r="H40" s="623">
        <f t="shared" si="9"/>
        <v>85354.68509816</v>
      </c>
      <c r="I40" s="438">
        <f t="shared" si="4"/>
        <v>6</v>
      </c>
      <c r="J40" s="623">
        <f t="shared" si="5"/>
        <v>3378874.06</v>
      </c>
      <c r="K40" s="202">
        <f t="shared" si="6"/>
        <v>3464228.7450981601</v>
      </c>
      <c r="L40" s="460"/>
    </row>
    <row r="41" spans="1:14">
      <c r="A41" s="185">
        <f t="shared" si="0"/>
        <v>45580</v>
      </c>
      <c r="B41" s="460"/>
      <c r="C41" s="621">
        <f t="shared" si="7"/>
        <v>2.0516960000000002</v>
      </c>
      <c r="D41" s="622">
        <f t="shared" si="8"/>
        <v>0.9999970755986981</v>
      </c>
      <c r="E41" s="623">
        <f t="shared" si="1"/>
        <v>13515456.73</v>
      </c>
      <c r="F41" s="438">
        <f t="shared" si="2"/>
        <v>30</v>
      </c>
      <c r="G41" s="460">
        <f t="shared" si="3"/>
        <v>4.0741237836483535E-3</v>
      </c>
      <c r="H41" s="623">
        <f t="shared" si="9"/>
        <v>68829.554644646996</v>
      </c>
      <c r="I41" s="438">
        <f t="shared" si="4"/>
        <v>5</v>
      </c>
      <c r="J41" s="623">
        <f t="shared" si="5"/>
        <v>3378864.18</v>
      </c>
      <c r="K41" s="202">
        <f t="shared" si="6"/>
        <v>3447693.7346446472</v>
      </c>
      <c r="L41" s="460"/>
    </row>
    <row r="42" spans="1:14">
      <c r="A42" s="185">
        <f t="shared" si="0"/>
        <v>45611</v>
      </c>
      <c r="B42" s="460"/>
      <c r="C42" s="621">
        <f t="shared" si="7"/>
        <v>2.0489700000000002</v>
      </c>
      <c r="D42" s="622">
        <f t="shared" si="8"/>
        <v>0.9986713431229578</v>
      </c>
      <c r="E42" s="623">
        <f t="shared" si="1"/>
        <v>10123124.5</v>
      </c>
      <c r="F42" s="438">
        <f t="shared" si="2"/>
        <v>31</v>
      </c>
      <c r="G42" s="460">
        <f t="shared" si="3"/>
        <v>4.210213398037288E-3</v>
      </c>
      <c r="H42" s="623">
        <f t="shared" si="9"/>
        <v>56827.352500090186</v>
      </c>
      <c r="I42" s="438">
        <f t="shared" si="4"/>
        <v>4</v>
      </c>
      <c r="J42" s="623">
        <f t="shared" si="5"/>
        <v>3374374.83</v>
      </c>
      <c r="K42" s="202">
        <f t="shared" si="6"/>
        <v>3431202.1825000905</v>
      </c>
      <c r="L42" s="460"/>
    </row>
    <row r="43" spans="1:14">
      <c r="A43" s="185">
        <f t="shared" si="0"/>
        <v>45641</v>
      </c>
      <c r="B43" s="460"/>
      <c r="C43" s="621">
        <f t="shared" si="7"/>
        <v>2.0516960000000002</v>
      </c>
      <c r="D43" s="622">
        <f t="shared" si="8"/>
        <v>1.0013304245547763</v>
      </c>
      <c r="E43" s="623">
        <f t="shared" si="1"/>
        <v>6757728.3700000001</v>
      </c>
      <c r="F43" s="438">
        <f t="shared" si="2"/>
        <v>30</v>
      </c>
      <c r="G43" s="460">
        <f t="shared" si="3"/>
        <v>4.0741237836483535E-3</v>
      </c>
      <c r="H43" s="623">
        <f t="shared" si="9"/>
        <v>41297.732806983593</v>
      </c>
      <c r="I43" s="438">
        <f t="shared" si="4"/>
        <v>3</v>
      </c>
      <c r="J43" s="623">
        <f t="shared" si="5"/>
        <v>3378864.18</v>
      </c>
      <c r="K43" s="202">
        <f t="shared" si="6"/>
        <v>3420161.9128069836</v>
      </c>
      <c r="L43" s="460"/>
    </row>
    <row r="44" spans="1:14">
      <c r="A44" s="185">
        <f t="shared" si="0"/>
        <v>45672</v>
      </c>
      <c r="B44" s="460"/>
      <c r="C44" s="621">
        <f t="shared" si="7"/>
        <v>2.0516999999999999</v>
      </c>
      <c r="D44" s="622">
        <f t="shared" si="8"/>
        <v>1.0000019496065693</v>
      </c>
      <c r="E44" s="623">
        <f t="shared" si="1"/>
        <v>3378870.77</v>
      </c>
      <c r="F44" s="438">
        <f t="shared" si="2"/>
        <v>31</v>
      </c>
      <c r="G44" s="460">
        <f t="shared" si="3"/>
        <v>4.210213398037288E-3</v>
      </c>
      <c r="H44" s="623">
        <f t="shared" si="9"/>
        <v>28451.533992860121</v>
      </c>
      <c r="I44" s="438">
        <f t="shared" si="4"/>
        <v>2</v>
      </c>
      <c r="J44" s="623">
        <f t="shared" si="5"/>
        <v>3378870.77</v>
      </c>
      <c r="K44" s="202">
        <f t="shared" si="6"/>
        <v>3407322.30399286</v>
      </c>
      <c r="L44" s="460"/>
    </row>
    <row r="45" spans="1:14">
      <c r="A45" s="185">
        <f t="shared" si="0"/>
        <v>45703</v>
      </c>
      <c r="B45" s="460"/>
      <c r="C45" s="621">
        <f t="shared" si="7"/>
        <v>2.0517120000000002</v>
      </c>
      <c r="D45" s="622">
        <f t="shared" si="8"/>
        <v>1.0000058488083055</v>
      </c>
      <c r="E45" s="623">
        <f t="shared" si="1"/>
        <v>0</v>
      </c>
      <c r="F45" s="438">
        <f t="shared" si="2"/>
        <v>31</v>
      </c>
      <c r="G45" s="460">
        <f t="shared" si="3"/>
        <v>4.210213398037288E-3</v>
      </c>
      <c r="H45" s="623">
        <f t="shared" si="9"/>
        <v>14225.850189874667</v>
      </c>
      <c r="I45" s="438">
        <f t="shared" si="4"/>
        <v>1</v>
      </c>
      <c r="J45" s="623">
        <f t="shared" si="5"/>
        <v>3378890.53</v>
      </c>
      <c r="K45" s="202">
        <f t="shared" si="6"/>
        <v>3393116.3801898747</v>
      </c>
      <c r="L45" s="460"/>
    </row>
    <row r="46" spans="1:14">
      <c r="A46" s="185"/>
      <c r="B46" s="460"/>
      <c r="C46" s="621"/>
      <c r="D46" s="622"/>
      <c r="E46" s="623"/>
      <c r="F46" s="438"/>
      <c r="G46" s="460"/>
      <c r="H46" s="623"/>
      <c r="I46" s="438"/>
      <c r="J46" s="623"/>
      <c r="K46" s="202"/>
      <c r="L46" s="460"/>
    </row>
    <row r="47" spans="1:14">
      <c r="A47" s="460"/>
      <c r="B47" s="460"/>
      <c r="C47" s="460"/>
      <c r="D47" s="460"/>
      <c r="E47" s="460"/>
      <c r="F47" s="438"/>
      <c r="G47" s="460"/>
      <c r="H47" s="460"/>
      <c r="I47" s="438"/>
      <c r="J47" s="460"/>
      <c r="K47" s="19"/>
      <c r="L47" s="460"/>
    </row>
  </sheetData>
  <pageMargins left="0.511811024" right="0.511811024" top="0.78740157499999996" bottom="0.78740157499999996" header="0.31496062000000002" footer="0.31496062000000002"/>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6A31-4827-451B-BFE9-8990C1396FE7}">
  <sheetPr>
    <tabColor theme="4"/>
  </sheetPr>
  <dimension ref="A1:R1201"/>
  <sheetViews>
    <sheetView topLeftCell="L1" zoomScaleNormal="100" workbookViewId="0">
      <selection activeCell="P1" sqref="P1"/>
    </sheetView>
  </sheetViews>
  <sheetFormatPr defaultRowHeight="14.5"/>
  <cols>
    <col min="1" max="1" width="10.54296875" style="604" bestFit="1" customWidth="1"/>
    <col min="2" max="2" width="13.26953125" style="601" bestFit="1" customWidth="1"/>
    <col min="3" max="3" width="17.1796875" style="376" bestFit="1" customWidth="1"/>
    <col min="4" max="4" width="8.7265625" style="460"/>
    <col min="5" max="5" width="43.7265625" style="458" bestFit="1" customWidth="1"/>
    <col min="6" max="6" width="8.7265625" style="458"/>
    <col min="7" max="7" width="20.453125" style="458" bestFit="1" customWidth="1"/>
    <col min="8" max="8" width="24.54296875" style="458" bestFit="1" customWidth="1"/>
    <col min="9" max="9" width="23.7265625" style="458" customWidth="1"/>
    <col min="10" max="10" width="8.7265625" style="458"/>
    <col min="11" max="11" width="81.1796875" style="458" bestFit="1" customWidth="1"/>
    <col min="12" max="12" width="8.7265625" style="458"/>
    <col min="13" max="13" width="52.453125" style="458" bestFit="1" customWidth="1"/>
    <col min="14" max="14" width="20" style="458" bestFit="1" customWidth="1"/>
    <col min="15" max="15" width="20.453125" style="458" bestFit="1" customWidth="1"/>
    <col min="16" max="16" width="24.54296875" style="458" bestFit="1" customWidth="1"/>
    <col min="17" max="17" width="17.81640625" style="458" bestFit="1" customWidth="1"/>
    <col min="18" max="18" width="4.453125" style="460" customWidth="1"/>
    <col min="19" max="16384" width="8.7265625" style="458"/>
  </cols>
  <sheetData>
    <row r="1" spans="1:17">
      <c r="A1" s="524" t="s">
        <v>222</v>
      </c>
      <c r="B1" s="525"/>
      <c r="C1" s="386"/>
      <c r="E1" s="460"/>
      <c r="F1" s="460"/>
      <c r="G1" s="460"/>
      <c r="H1" s="460"/>
      <c r="I1" s="460"/>
      <c r="J1" s="460"/>
    </row>
    <row r="2" spans="1:17">
      <c r="A2" s="526"/>
      <c r="B2" s="525"/>
      <c r="C2" s="386"/>
      <c r="E2" s="460"/>
      <c r="F2" s="460"/>
      <c r="G2" s="460"/>
      <c r="H2" s="460"/>
      <c r="I2" s="460"/>
      <c r="J2" s="460"/>
    </row>
    <row r="3" spans="1:17">
      <c r="A3" s="526"/>
      <c r="B3" s="525"/>
      <c r="C3" s="386"/>
      <c r="E3" s="460"/>
      <c r="F3" s="460"/>
      <c r="G3" s="460"/>
      <c r="H3" s="460"/>
      <c r="I3" s="460"/>
      <c r="J3" s="460"/>
    </row>
    <row r="4" spans="1:17" ht="28">
      <c r="A4" s="527" t="s">
        <v>4</v>
      </c>
      <c r="B4" s="528" t="s">
        <v>127</v>
      </c>
      <c r="C4" s="529" t="s">
        <v>128</v>
      </c>
      <c r="E4" s="373" t="s">
        <v>18</v>
      </c>
      <c r="F4" s="373"/>
      <c r="G4" s="374">
        <v>5370102</v>
      </c>
      <c r="H4" s="460"/>
      <c r="I4" s="522"/>
      <c r="J4" s="530"/>
      <c r="L4" s="460"/>
      <c r="M4" s="389" t="s">
        <v>129</v>
      </c>
      <c r="N4" s="390" t="s">
        <v>19</v>
      </c>
      <c r="O4" s="390" t="s">
        <v>130</v>
      </c>
      <c r="P4" s="390" t="s">
        <v>131</v>
      </c>
      <c r="Q4" s="390" t="s">
        <v>132</v>
      </c>
    </row>
    <row r="5" spans="1:17">
      <c r="A5" s="531">
        <v>43192</v>
      </c>
      <c r="B5" s="532">
        <v>1.8000000000000002E-2</v>
      </c>
      <c r="C5" s="533">
        <v>1</v>
      </c>
      <c r="E5" s="373" t="s">
        <v>133</v>
      </c>
      <c r="F5" s="373"/>
      <c r="G5" s="375">
        <v>44696</v>
      </c>
      <c r="H5" s="460" t="str">
        <f>TEXT(G5,"ddd")</f>
        <v>Sun</v>
      </c>
      <c r="I5" s="386"/>
      <c r="J5" s="534"/>
      <c r="L5" s="460"/>
      <c r="M5" s="535">
        <f>M6-1</f>
        <v>44838</v>
      </c>
      <c r="N5" s="536"/>
      <c r="O5" s="537"/>
      <c r="P5" s="538">
        <f t="shared" ref="P5" si="0">VLOOKUP(M5,$A$5:$C$1167,2,FALSE)</f>
        <v>3.04E-2</v>
      </c>
      <c r="Q5" s="539"/>
    </row>
    <row r="6" spans="1:17">
      <c r="A6" s="531">
        <v>43193</v>
      </c>
      <c r="B6" s="532">
        <v>1.83E-2</v>
      </c>
      <c r="C6" s="533">
        <v>1.0000500000000001</v>
      </c>
      <c r="E6" s="373" t="s">
        <v>134</v>
      </c>
      <c r="F6" s="373"/>
      <c r="G6" s="377">
        <v>44880</v>
      </c>
      <c r="H6" s="460" t="str">
        <f t="shared" ref="H6" si="1">TEXT(G6,"ddd")</f>
        <v>Tue</v>
      </c>
      <c r="I6" s="386"/>
      <c r="J6" s="534"/>
      <c r="L6" s="460"/>
      <c r="M6" s="535">
        <f>M7-1</f>
        <v>44839</v>
      </c>
      <c r="N6" s="536"/>
      <c r="O6" s="540">
        <f>VLOOKUP(M6,$A$5:$C$1167,3,FALSE)</f>
        <v>1.0505258500000001</v>
      </c>
      <c r="P6" s="541"/>
      <c r="Q6" s="540">
        <f>O6</f>
        <v>1.0505258500000001</v>
      </c>
    </row>
    <row r="7" spans="1:17">
      <c r="A7" s="531">
        <v>43194</v>
      </c>
      <c r="B7" s="532">
        <v>1.7399999999999999E-2</v>
      </c>
      <c r="C7" s="533">
        <v>1.00010084</v>
      </c>
      <c r="E7" s="373" t="s">
        <v>135</v>
      </c>
      <c r="F7" s="373"/>
      <c r="G7" s="542">
        <v>44820</v>
      </c>
      <c r="H7" s="460" t="str">
        <f>TEXT(G7,"ddd")</f>
        <v>Fri</v>
      </c>
      <c r="I7" s="386"/>
      <c r="J7" s="534"/>
      <c r="L7" s="460"/>
      <c r="M7" s="535">
        <f>M8-1</f>
        <v>44840</v>
      </c>
      <c r="N7" s="536">
        <f t="shared" ref="N7:N9" si="2">+M7-M6</f>
        <v>1</v>
      </c>
      <c r="O7" s="541"/>
      <c r="P7" s="541"/>
      <c r="Q7" s="540">
        <f>ROUND(Q6*(1+($P$5/360)*N7),8)</f>
        <v>1.0506145600000001</v>
      </c>
    </row>
    <row r="8" spans="1:17">
      <c r="A8" s="531">
        <v>43195</v>
      </c>
      <c r="B8" s="532">
        <v>1.7500000000000002E-2</v>
      </c>
      <c r="C8" s="533">
        <v>1.00014917</v>
      </c>
      <c r="E8" s="460"/>
      <c r="F8" s="460"/>
      <c r="G8" s="460"/>
      <c r="H8" s="460"/>
      <c r="I8" s="386"/>
      <c r="J8" s="376"/>
      <c r="L8" s="460"/>
      <c r="M8" s="535">
        <f>M9-4</f>
        <v>44841</v>
      </c>
      <c r="N8" s="536">
        <f t="shared" si="2"/>
        <v>1</v>
      </c>
      <c r="O8" s="541"/>
      <c r="P8" s="541"/>
      <c r="Q8" s="540">
        <f>ROUND(Q7*(1+($P$5/360)*N8),8)</f>
        <v>1.05070328</v>
      </c>
    </row>
    <row r="9" spans="1:17">
      <c r="A9" s="531">
        <v>43196</v>
      </c>
      <c r="B9" s="532">
        <v>1.7500000000000002E-2</v>
      </c>
      <c r="C9" s="533">
        <v>1.0001977900000001</v>
      </c>
      <c r="E9" s="567" t="s">
        <v>136</v>
      </c>
      <c r="F9" s="567"/>
      <c r="G9" s="566" t="s">
        <v>137</v>
      </c>
      <c r="H9" s="566" t="s">
        <v>138</v>
      </c>
      <c r="I9" s="567" t="s">
        <v>139</v>
      </c>
      <c r="J9" s="378"/>
      <c r="K9" s="459"/>
      <c r="L9" s="460"/>
      <c r="M9" s="535">
        <f t="shared" ref="M9:M14" si="3">M10-1</f>
        <v>44845</v>
      </c>
      <c r="N9" s="536">
        <f t="shared" si="2"/>
        <v>4</v>
      </c>
      <c r="O9" s="541"/>
      <c r="P9" s="541"/>
      <c r="Q9" s="540">
        <f t="shared" ref="Q9:Q16" si="4">ROUND(Q8*(1+($P$5/360)*N9),8)</f>
        <v>1.0510581800000001</v>
      </c>
    </row>
    <row r="10" spans="1:17" ht="15" thickBot="1">
      <c r="A10" s="531">
        <v>43199</v>
      </c>
      <c r="B10" s="532">
        <v>1.7500000000000002E-2</v>
      </c>
      <c r="C10" s="533">
        <v>1.00034365</v>
      </c>
      <c r="E10" s="379">
        <f>G4</f>
        <v>5370102</v>
      </c>
      <c r="F10" s="379"/>
      <c r="G10" s="380">
        <f>VLOOKUP($G$5,$A$5:$C$1167,3,0)</f>
        <v>1.0431237900000001</v>
      </c>
      <c r="H10" s="380">
        <f>I61</f>
        <v>1.0529903300000001</v>
      </c>
      <c r="I10" s="379">
        <f>ROUND(E10*(H10/G10-1),2)</f>
        <v>50793.9</v>
      </c>
      <c r="J10" s="382"/>
      <c r="K10" s="459"/>
      <c r="L10" s="460"/>
      <c r="M10" s="535">
        <f t="shared" si="3"/>
        <v>44846</v>
      </c>
      <c r="N10" s="536">
        <f>+M10-M9</f>
        <v>1</v>
      </c>
      <c r="O10" s="543"/>
      <c r="P10" s="541"/>
      <c r="Q10" s="540">
        <f t="shared" si="4"/>
        <v>1.05114694</v>
      </c>
    </row>
    <row r="11" spans="1:17">
      <c r="A11" s="531">
        <v>43200</v>
      </c>
      <c r="B11" s="532">
        <v>1.7500000000000002E-2</v>
      </c>
      <c r="C11" s="533">
        <v>1.00039228</v>
      </c>
      <c r="E11" s="460"/>
      <c r="F11" s="460"/>
      <c r="G11" s="460"/>
      <c r="H11" s="460"/>
      <c r="I11" s="386"/>
      <c r="J11" s="376"/>
      <c r="L11" s="460"/>
      <c r="M11" s="535">
        <f t="shared" si="3"/>
        <v>44847</v>
      </c>
      <c r="N11" s="536">
        <f t="shared" ref="N11:N16" si="5">+M11-M10</f>
        <v>1</v>
      </c>
      <c r="O11" s="544"/>
      <c r="P11" s="541"/>
      <c r="Q11" s="540">
        <f t="shared" si="4"/>
        <v>1.0512357000000001</v>
      </c>
    </row>
    <row r="12" spans="1:17">
      <c r="A12" s="531">
        <v>43201</v>
      </c>
      <c r="B12" s="532">
        <v>1.7600000000000001E-2</v>
      </c>
      <c r="C12" s="533">
        <v>1.00044091</v>
      </c>
      <c r="E12" s="460"/>
      <c r="F12" s="460"/>
      <c r="G12" s="521"/>
      <c r="H12" s="386"/>
      <c r="I12" s="386"/>
      <c r="J12" s="376"/>
      <c r="K12" s="139"/>
      <c r="L12" s="460"/>
      <c r="M12" s="535">
        <f>M13-3</f>
        <v>44848</v>
      </c>
      <c r="N12" s="536">
        <f t="shared" si="5"/>
        <v>1</v>
      </c>
      <c r="O12" s="543"/>
      <c r="P12" s="541"/>
      <c r="Q12" s="540">
        <f t="shared" si="4"/>
        <v>1.05132447</v>
      </c>
    </row>
    <row r="13" spans="1:17">
      <c r="A13" s="531">
        <v>43202</v>
      </c>
      <c r="B13" s="532">
        <v>1.7299999999999999E-2</v>
      </c>
      <c r="C13" s="533">
        <v>1.0004898200000001</v>
      </c>
      <c r="E13" s="460"/>
      <c r="F13" s="460"/>
      <c r="G13" s="521"/>
      <c r="H13" s="386"/>
      <c r="I13" s="386"/>
      <c r="J13" s="376"/>
      <c r="K13" s="139"/>
      <c r="L13" s="460"/>
      <c r="M13" s="535">
        <f t="shared" si="3"/>
        <v>44851</v>
      </c>
      <c r="N13" s="536">
        <f t="shared" si="5"/>
        <v>3</v>
      </c>
      <c r="O13" s="543"/>
      <c r="P13" s="541"/>
      <c r="Q13" s="540">
        <f t="shared" si="4"/>
        <v>1.05159081</v>
      </c>
    </row>
    <row r="14" spans="1:17">
      <c r="A14" s="531">
        <v>43203</v>
      </c>
      <c r="B14" s="532">
        <v>1.72E-2</v>
      </c>
      <c r="C14" s="533">
        <v>1.0005379000000001</v>
      </c>
      <c r="E14" s="460" t="s">
        <v>140</v>
      </c>
      <c r="F14" s="675"/>
      <c r="G14" s="460"/>
      <c r="H14" s="460"/>
      <c r="I14" s="386"/>
      <c r="J14" s="376"/>
      <c r="L14" s="460"/>
      <c r="M14" s="535">
        <f t="shared" si="3"/>
        <v>44852</v>
      </c>
      <c r="N14" s="536">
        <f t="shared" si="5"/>
        <v>1</v>
      </c>
      <c r="O14" s="543"/>
      <c r="P14" s="541"/>
      <c r="Q14" s="540">
        <f t="shared" si="4"/>
        <v>1.0516796100000001</v>
      </c>
    </row>
    <row r="15" spans="1:17">
      <c r="A15" s="531">
        <v>43206</v>
      </c>
      <c r="B15" s="532">
        <v>1.77E-2</v>
      </c>
      <c r="C15" s="533">
        <v>1.00068131</v>
      </c>
      <c r="E15" s="460" t="s">
        <v>141</v>
      </c>
      <c r="F15" s="675"/>
      <c r="G15" s="460"/>
      <c r="H15" s="460"/>
      <c r="I15" s="386"/>
      <c r="J15" s="376"/>
      <c r="L15" s="460"/>
      <c r="M15" s="535">
        <f>M16-1</f>
        <v>44853</v>
      </c>
      <c r="N15" s="536">
        <f t="shared" si="5"/>
        <v>1</v>
      </c>
      <c r="O15" s="543"/>
      <c r="P15" s="541"/>
      <c r="Q15" s="540">
        <f t="shared" si="4"/>
        <v>1.0517684199999999</v>
      </c>
    </row>
    <row r="16" spans="1:17">
      <c r="A16" s="531">
        <v>43207</v>
      </c>
      <c r="B16" s="532">
        <v>1.7600000000000001E-2</v>
      </c>
      <c r="C16" s="533">
        <v>1.0007305099999999</v>
      </c>
      <c r="E16" s="460" t="s">
        <v>142</v>
      </c>
      <c r="F16" s="675"/>
      <c r="G16" s="460"/>
      <c r="H16" s="460"/>
      <c r="I16" s="386"/>
      <c r="J16" s="376"/>
      <c r="L16" s="460"/>
      <c r="M16" s="545">
        <f>N21</f>
        <v>44854</v>
      </c>
      <c r="N16" s="536">
        <f t="shared" si="5"/>
        <v>1</v>
      </c>
      <c r="O16" s="543"/>
      <c r="P16" s="546"/>
      <c r="Q16" s="540">
        <f t="shared" si="4"/>
        <v>1.0518572399999999</v>
      </c>
    </row>
    <row r="17" spans="1:17">
      <c r="A17" s="531">
        <v>43208</v>
      </c>
      <c r="B17" s="532">
        <v>1.7500000000000002E-2</v>
      </c>
      <c r="C17" s="533">
        <v>1.0007794400000001</v>
      </c>
      <c r="E17" s="460"/>
      <c r="F17" s="460"/>
      <c r="G17" s="460"/>
      <c r="H17" s="460"/>
      <c r="I17" s="386"/>
      <c r="J17" s="376"/>
      <c r="L17" s="460"/>
      <c r="M17" s="460"/>
      <c r="N17" s="460"/>
      <c r="O17" s="460"/>
      <c r="P17" s="547"/>
      <c r="Q17" s="438"/>
    </row>
    <row r="18" spans="1:17">
      <c r="A18" s="531">
        <v>43209</v>
      </c>
      <c r="B18" s="532">
        <v>1.7299999999999999E-2</v>
      </c>
      <c r="C18" s="533">
        <v>1.0008280899999999</v>
      </c>
      <c r="E18" s="460"/>
      <c r="F18" s="460"/>
      <c r="G18" s="460"/>
      <c r="H18" s="460"/>
      <c r="I18" s="386"/>
      <c r="J18" s="376"/>
      <c r="L18" s="460"/>
      <c r="M18" s="460"/>
      <c r="N18" s="460"/>
      <c r="O18" s="460"/>
      <c r="P18" s="547"/>
      <c r="Q18" s="438"/>
    </row>
    <row r="19" spans="1:17" ht="28">
      <c r="A19" s="531">
        <v>43210</v>
      </c>
      <c r="B19" s="532">
        <v>1.72E-2</v>
      </c>
      <c r="C19" s="533">
        <v>1.0008761799999999</v>
      </c>
      <c r="E19" s="389" t="s">
        <v>129</v>
      </c>
      <c r="F19" s="389" t="s">
        <v>19</v>
      </c>
      <c r="G19" s="390" t="s">
        <v>130</v>
      </c>
      <c r="H19" s="390" t="s">
        <v>131</v>
      </c>
      <c r="I19" s="390" t="s">
        <v>132</v>
      </c>
      <c r="J19" s="376"/>
      <c r="L19" s="460"/>
      <c r="M19" s="373" t="s">
        <v>18</v>
      </c>
      <c r="N19" s="548">
        <v>10000000</v>
      </c>
      <c r="O19" s="460"/>
      <c r="P19" s="547"/>
      <c r="Q19" s="438"/>
    </row>
    <row r="20" spans="1:17">
      <c r="A20" s="531">
        <v>43213</v>
      </c>
      <c r="B20" s="532">
        <v>1.7000000000000001E-2</v>
      </c>
      <c r="C20" s="533">
        <v>1.00101964</v>
      </c>
      <c r="E20" s="549">
        <f>G7-1</f>
        <v>44819</v>
      </c>
      <c r="F20" s="550"/>
      <c r="G20" s="551"/>
      <c r="H20" s="552">
        <f>VLOOKUP(E20,$A$5:$C$1167,2,FALSE)</f>
        <v>2.2799999999999997E-2</v>
      </c>
      <c r="I20" s="383"/>
      <c r="J20" s="376"/>
      <c r="K20" s="384"/>
      <c r="L20" s="460"/>
      <c r="M20" s="373" t="s">
        <v>133</v>
      </c>
      <c r="N20" s="553">
        <v>44635</v>
      </c>
      <c r="O20" s="460"/>
      <c r="P20" s="547"/>
      <c r="Q20" s="438"/>
    </row>
    <row r="21" spans="1:17">
      <c r="A21" s="531">
        <v>43214</v>
      </c>
      <c r="B21" s="532">
        <v>1.7100000000000001E-2</v>
      </c>
      <c r="C21" s="533">
        <v>1.00106691</v>
      </c>
      <c r="E21" s="554">
        <f>E20+1</f>
        <v>44820</v>
      </c>
      <c r="F21" s="555"/>
      <c r="G21" s="556">
        <f>VLOOKUP(E21,$A$5:$C$1167,3,FALSE)</f>
        <v>1.04899681</v>
      </c>
      <c r="H21" s="556"/>
      <c r="I21" s="557">
        <f>G21</f>
        <v>1.04899681</v>
      </c>
      <c r="J21" s="376"/>
      <c r="K21" s="558" t="s">
        <v>143</v>
      </c>
      <c r="L21" s="460"/>
      <c r="M21" s="373" t="s">
        <v>144</v>
      </c>
      <c r="N21" s="553">
        <v>44854</v>
      </c>
      <c r="O21" s="460"/>
      <c r="P21" s="547"/>
      <c r="Q21" s="438"/>
    </row>
    <row r="22" spans="1:17">
      <c r="A22" s="531">
        <v>43215</v>
      </c>
      <c r="B22" s="532">
        <v>1.7100000000000001E-2</v>
      </c>
      <c r="C22" s="533">
        <v>1.0011144599999999</v>
      </c>
      <c r="E22" s="549">
        <f>E21+3</f>
        <v>44823</v>
      </c>
      <c r="F22" s="559">
        <f t="shared" ref="F22:F66" si="6">E22-E21</f>
        <v>3</v>
      </c>
      <c r="G22" s="560" t="s">
        <v>145</v>
      </c>
      <c r="H22" s="560" t="s">
        <v>145</v>
      </c>
      <c r="I22" s="561">
        <f>ROUND((I21*(1+($H$20/360)*F22)),8)</f>
        <v>1.04919612</v>
      </c>
      <c r="J22" s="376"/>
      <c r="K22" s="558" t="s">
        <v>146</v>
      </c>
      <c r="L22" s="460"/>
      <c r="M22" s="373" t="s">
        <v>147</v>
      </c>
      <c r="N22" s="472">
        <v>44839</v>
      </c>
      <c r="O22" s="460"/>
      <c r="P22" s="547"/>
      <c r="Q22" s="438"/>
    </row>
    <row r="23" spans="1:17">
      <c r="A23" s="531">
        <v>43216</v>
      </c>
      <c r="B23" s="532">
        <v>1.72E-2</v>
      </c>
      <c r="C23" s="533">
        <v>1.00116201</v>
      </c>
      <c r="E23" s="549">
        <f t="shared" ref="E23:E66" si="7">E22+1</f>
        <v>44824</v>
      </c>
      <c r="F23" s="559">
        <f t="shared" si="6"/>
        <v>1</v>
      </c>
      <c r="G23" s="560" t="s">
        <v>145</v>
      </c>
      <c r="H23" s="560" t="s">
        <v>145</v>
      </c>
      <c r="I23" s="561">
        <f>ROUND((I22*(1+($H$20/360)*F23)),8)</f>
        <v>1.04926257</v>
      </c>
      <c r="J23" s="376"/>
      <c r="K23" s="558" t="s">
        <v>148</v>
      </c>
      <c r="L23" s="460"/>
      <c r="M23" s="373" t="s">
        <v>6</v>
      </c>
      <c r="N23" s="562">
        <v>1000000</v>
      </c>
      <c r="O23" s="460"/>
      <c r="P23" s="547"/>
      <c r="Q23" s="438"/>
    </row>
    <row r="24" spans="1:17">
      <c r="A24" s="531">
        <v>43217</v>
      </c>
      <c r="B24" s="532">
        <v>1.72E-2</v>
      </c>
      <c r="C24" s="533">
        <v>1.00120985</v>
      </c>
      <c r="E24" s="549">
        <f t="shared" si="7"/>
        <v>44825</v>
      </c>
      <c r="F24" s="559">
        <f t="shared" si="6"/>
        <v>1</v>
      </c>
      <c r="G24" s="560" t="s">
        <v>32</v>
      </c>
      <c r="H24" s="560" t="s">
        <v>32</v>
      </c>
      <c r="I24" s="561">
        <f t="shared" ref="I24:I60" si="8">ROUND((I23*(1+($H$20/360)*F24)),8)</f>
        <v>1.0493290200000001</v>
      </c>
      <c r="J24" s="376"/>
      <c r="K24" s="558" t="s">
        <v>149</v>
      </c>
      <c r="L24" s="460"/>
      <c r="M24" s="373" t="s">
        <v>150</v>
      </c>
      <c r="N24" s="563">
        <v>44813</v>
      </c>
      <c r="O24" s="460"/>
      <c r="P24" s="547"/>
      <c r="Q24" s="438"/>
    </row>
    <row r="25" spans="1:17" ht="35.15" customHeight="1">
      <c r="A25" s="531">
        <v>43220</v>
      </c>
      <c r="B25" s="532">
        <v>1.77E-2</v>
      </c>
      <c r="C25" s="533">
        <v>1.00135335</v>
      </c>
      <c r="E25" s="549">
        <f t="shared" si="7"/>
        <v>44826</v>
      </c>
      <c r="F25" s="559">
        <f t="shared" si="6"/>
        <v>1</v>
      </c>
      <c r="G25" s="560" t="s">
        <v>32</v>
      </c>
      <c r="H25" s="560" t="s">
        <v>32</v>
      </c>
      <c r="I25" s="561">
        <f t="shared" si="8"/>
        <v>1.04939548</v>
      </c>
      <c r="J25" s="376"/>
      <c r="K25" s="558" t="s">
        <v>151</v>
      </c>
      <c r="L25" s="460"/>
      <c r="M25" s="373" t="s">
        <v>152</v>
      </c>
      <c r="N25" s="564">
        <v>-2000000</v>
      </c>
      <c r="O25" s="460"/>
      <c r="P25" s="547"/>
      <c r="Q25" s="438"/>
    </row>
    <row r="26" spans="1:17">
      <c r="A26" s="531">
        <v>43221</v>
      </c>
      <c r="B26" s="532">
        <v>1.7600000000000001E-2</v>
      </c>
      <c r="C26" s="533">
        <v>1.0014025900000001</v>
      </c>
      <c r="E26" s="549">
        <f>E25+1</f>
        <v>44827</v>
      </c>
      <c r="F26" s="559">
        <f t="shared" si="6"/>
        <v>1</v>
      </c>
      <c r="G26" s="560" t="s">
        <v>32</v>
      </c>
      <c r="H26" s="560" t="s">
        <v>32</v>
      </c>
      <c r="I26" s="561">
        <f t="shared" si="8"/>
        <v>1.04946194</v>
      </c>
      <c r="J26" s="376"/>
      <c r="K26" s="558" t="s">
        <v>153</v>
      </c>
      <c r="L26" s="460"/>
      <c r="M26" s="373" t="s">
        <v>154</v>
      </c>
      <c r="N26" s="79">
        <v>44824</v>
      </c>
      <c r="O26" s="460"/>
      <c r="P26" s="547"/>
      <c r="Q26" s="438"/>
    </row>
    <row r="27" spans="1:17">
      <c r="A27" s="531">
        <v>43222</v>
      </c>
      <c r="B27" s="532">
        <v>1.7500000000000002E-2</v>
      </c>
      <c r="C27" s="533">
        <v>1.0014515500000001</v>
      </c>
      <c r="E27" s="549">
        <f>E26+3</f>
        <v>44830</v>
      </c>
      <c r="F27" s="559">
        <f t="shared" si="6"/>
        <v>3</v>
      </c>
      <c r="G27" s="560" t="s">
        <v>32</v>
      </c>
      <c r="H27" s="560" t="s">
        <v>32</v>
      </c>
      <c r="I27" s="561">
        <f t="shared" si="8"/>
        <v>1.0496613400000001</v>
      </c>
      <c r="J27" s="376"/>
      <c r="K27" s="558" t="s">
        <v>155</v>
      </c>
      <c r="L27" s="460"/>
      <c r="M27" s="460"/>
      <c r="N27" s="565"/>
      <c r="O27" s="460"/>
      <c r="P27" s="547"/>
      <c r="Q27" s="438"/>
    </row>
    <row r="28" spans="1:17">
      <c r="A28" s="531">
        <v>43223</v>
      </c>
      <c r="B28" s="532">
        <v>1.7399999999999999E-2</v>
      </c>
      <c r="C28" s="533">
        <v>1.00150023</v>
      </c>
      <c r="E28" s="549">
        <f t="shared" si="7"/>
        <v>44831</v>
      </c>
      <c r="F28" s="559">
        <f t="shared" si="6"/>
        <v>1</v>
      </c>
      <c r="G28" s="560" t="s">
        <v>32</v>
      </c>
      <c r="H28" s="560" t="s">
        <v>32</v>
      </c>
      <c r="I28" s="561">
        <f t="shared" si="8"/>
        <v>1.04972782</v>
      </c>
      <c r="J28" s="376"/>
      <c r="K28" s="558" t="s">
        <v>156</v>
      </c>
      <c r="L28" s="460"/>
      <c r="M28" s="566" t="s">
        <v>4</v>
      </c>
      <c r="N28" s="567" t="s">
        <v>203</v>
      </c>
      <c r="O28" s="568" t="s">
        <v>137</v>
      </c>
      <c r="P28" s="568" t="s">
        <v>138</v>
      </c>
      <c r="Q28" s="569" t="s">
        <v>157</v>
      </c>
    </row>
    <row r="29" spans="1:17">
      <c r="A29" s="531">
        <v>43224</v>
      </c>
      <c r="B29" s="532">
        <v>1.72E-2</v>
      </c>
      <c r="C29" s="533">
        <v>1.0015486300000001</v>
      </c>
      <c r="E29" s="549">
        <f t="shared" si="7"/>
        <v>44832</v>
      </c>
      <c r="F29" s="559">
        <f t="shared" si="6"/>
        <v>1</v>
      </c>
      <c r="G29" s="560" t="s">
        <v>32</v>
      </c>
      <c r="H29" s="560" t="s">
        <v>32</v>
      </c>
      <c r="I29" s="561">
        <f t="shared" si="8"/>
        <v>1.0497943000000001</v>
      </c>
      <c r="J29" s="376"/>
      <c r="K29" s="558" t="s">
        <v>158</v>
      </c>
      <c r="L29" s="460"/>
      <c r="M29" s="570">
        <f>N20</f>
        <v>44635</v>
      </c>
      <c r="N29" s="571">
        <f>N19</f>
        <v>10000000</v>
      </c>
      <c r="O29" s="572">
        <f>VLOOKUP(N20,$A$5:$C$1167,3,0)</f>
        <v>1.0424865299999999</v>
      </c>
      <c r="P29" s="573">
        <f>$Q$16</f>
        <v>1.0518572399999999</v>
      </c>
      <c r="Q29" s="571">
        <f>ROUND(N29*(P29/O29-1),2)</f>
        <v>89888.07</v>
      </c>
    </row>
    <row r="30" spans="1:17">
      <c r="A30" s="531">
        <v>43227</v>
      </c>
      <c r="B30" s="532">
        <v>1.7100000000000001E-2</v>
      </c>
      <c r="C30" s="533">
        <v>1.00169219</v>
      </c>
      <c r="E30" s="549">
        <f>E29+1</f>
        <v>44833</v>
      </c>
      <c r="F30" s="559">
        <f t="shared" si="6"/>
        <v>1</v>
      </c>
      <c r="G30" s="560" t="s">
        <v>32</v>
      </c>
      <c r="H30" s="560" t="s">
        <v>32</v>
      </c>
      <c r="I30" s="561">
        <f t="shared" si="8"/>
        <v>1.0498607900000001</v>
      </c>
      <c r="J30" s="376"/>
      <c r="K30" s="558" t="s">
        <v>159</v>
      </c>
      <c r="L30" s="460"/>
      <c r="M30" s="574">
        <f>N24</f>
        <v>44813</v>
      </c>
      <c r="N30" s="575">
        <f>N23</f>
        <v>1000000</v>
      </c>
      <c r="O30" s="576">
        <f>VLOOKUP(N24,$A$5:$C$1167,3,0)</f>
        <v>1.04853218</v>
      </c>
      <c r="P30" s="577">
        <f>$Q$16</f>
        <v>1.0518572399999999</v>
      </c>
      <c r="Q30" s="578">
        <f>ROUND(N30*(P30/O30-1),2)</f>
        <v>3171.16</v>
      </c>
    </row>
    <row r="31" spans="1:17">
      <c r="A31" s="531">
        <v>43228</v>
      </c>
      <c r="B31" s="532">
        <v>1.72E-2</v>
      </c>
      <c r="C31" s="533">
        <v>1.0017397699999999</v>
      </c>
      <c r="E31" s="549">
        <f>E30+1</f>
        <v>44834</v>
      </c>
      <c r="F31" s="559">
        <f t="shared" si="6"/>
        <v>1</v>
      </c>
      <c r="G31" s="560" t="s">
        <v>32</v>
      </c>
      <c r="H31" s="560" t="s">
        <v>32</v>
      </c>
      <c r="I31" s="561">
        <f t="shared" si="8"/>
        <v>1.0499272799999999</v>
      </c>
      <c r="J31" s="376"/>
      <c r="K31" s="558" t="s">
        <v>160</v>
      </c>
      <c r="L31" s="460"/>
      <c r="M31" s="579">
        <f>N26</f>
        <v>44824</v>
      </c>
      <c r="N31" s="580">
        <f>N25</f>
        <v>-2000000</v>
      </c>
      <c r="O31" s="581">
        <f>VLOOKUP(N26,$A$5:$C$1167,3,FALSE)</f>
        <v>1.0492614099999999</v>
      </c>
      <c r="P31" s="582">
        <f>$Q$16</f>
        <v>1.0518572399999999</v>
      </c>
      <c r="Q31" s="583">
        <f>ROUND(N31*(P31/O31-1),2)</f>
        <v>-4947.92</v>
      </c>
    </row>
    <row r="32" spans="1:17" ht="15" thickBot="1">
      <c r="A32" s="531">
        <v>43229</v>
      </c>
      <c r="B32" s="532">
        <v>1.72E-2</v>
      </c>
      <c r="C32" s="533">
        <v>1.0017876299999999</v>
      </c>
      <c r="E32" s="549">
        <f>E31+3</f>
        <v>44837</v>
      </c>
      <c r="F32" s="559">
        <f t="shared" si="6"/>
        <v>3</v>
      </c>
      <c r="G32" s="560" t="s">
        <v>32</v>
      </c>
      <c r="H32" s="560" t="s">
        <v>32</v>
      </c>
      <c r="I32" s="561">
        <f t="shared" si="8"/>
        <v>1.0501267700000001</v>
      </c>
      <c r="J32" s="376"/>
      <c r="K32" s="558" t="s">
        <v>161</v>
      </c>
      <c r="L32" s="460"/>
      <c r="M32" s="584"/>
      <c r="N32" s="379"/>
      <c r="O32" s="585"/>
      <c r="P32" s="381"/>
      <c r="Q32" s="586">
        <f>SUM(Q29:Q31)</f>
        <v>88111.310000000012</v>
      </c>
    </row>
    <row r="33" spans="1:17">
      <c r="A33" s="531">
        <v>43230</v>
      </c>
      <c r="B33" s="532">
        <v>1.7299999999999999E-2</v>
      </c>
      <c r="C33" s="533">
        <v>1.0018354899999999</v>
      </c>
      <c r="E33" s="549">
        <f t="shared" si="7"/>
        <v>44838</v>
      </c>
      <c r="F33" s="559">
        <f t="shared" si="6"/>
        <v>1</v>
      </c>
      <c r="G33" s="560" t="s">
        <v>32</v>
      </c>
      <c r="H33" s="560" t="s">
        <v>32</v>
      </c>
      <c r="I33" s="561">
        <f t="shared" si="8"/>
        <v>1.05019328</v>
      </c>
      <c r="J33" s="376"/>
      <c r="K33" s="558" t="s">
        <v>162</v>
      </c>
      <c r="L33" s="460"/>
      <c r="M33" s="460"/>
      <c r="N33" s="587"/>
      <c r="O33" s="547"/>
      <c r="P33" s="547"/>
      <c r="Q33" s="588"/>
    </row>
    <row r="34" spans="1:17" s="460" customFormat="1">
      <c r="A34" s="589">
        <v>43231</v>
      </c>
      <c r="B34" s="590">
        <v>1.7299999999999999E-2</v>
      </c>
      <c r="C34" s="591">
        <v>1.00188364</v>
      </c>
      <c r="E34" s="592">
        <f t="shared" si="7"/>
        <v>44839</v>
      </c>
      <c r="F34" s="593">
        <f t="shared" si="6"/>
        <v>1</v>
      </c>
      <c r="G34" s="438" t="s">
        <v>32</v>
      </c>
      <c r="H34" s="438" t="s">
        <v>32</v>
      </c>
      <c r="I34" s="561">
        <f t="shared" si="8"/>
        <v>1.0502597899999999</v>
      </c>
      <c r="J34" s="386"/>
      <c r="K34" s="460" t="s">
        <v>163</v>
      </c>
      <c r="M34" s="460" t="s">
        <v>164</v>
      </c>
      <c r="P34" s="547"/>
      <c r="Q34" s="438"/>
    </row>
    <row r="35" spans="1:17">
      <c r="A35" s="531">
        <v>43234</v>
      </c>
      <c r="B35" s="532">
        <v>1.7500000000000002E-2</v>
      </c>
      <c r="C35" s="533">
        <v>1.0020280699999999</v>
      </c>
      <c r="E35" s="549">
        <f>E34+1</f>
        <v>44840</v>
      </c>
      <c r="F35" s="559">
        <f t="shared" si="6"/>
        <v>1</v>
      </c>
      <c r="G35" s="560" t="s">
        <v>32</v>
      </c>
      <c r="H35" s="560" t="s">
        <v>32</v>
      </c>
      <c r="I35" s="561">
        <f t="shared" si="8"/>
        <v>1.05032631</v>
      </c>
      <c r="J35" s="376"/>
      <c r="K35" s="558" t="s">
        <v>165</v>
      </c>
      <c r="L35" s="460"/>
      <c r="M35" s="460" t="s">
        <v>166</v>
      </c>
      <c r="N35" s="460"/>
      <c r="O35" s="460"/>
      <c r="P35" s="547"/>
      <c r="Q35" s="438"/>
    </row>
    <row r="36" spans="1:17">
      <c r="A36" s="531">
        <v>43235</v>
      </c>
      <c r="B36" s="532">
        <v>1.7899999999999999E-2</v>
      </c>
      <c r="C36" s="533">
        <v>1.0020767799999999</v>
      </c>
      <c r="E36" s="549">
        <f>E35+1</f>
        <v>44841</v>
      </c>
      <c r="F36" s="559">
        <f t="shared" si="6"/>
        <v>1</v>
      </c>
      <c r="G36" s="560" t="s">
        <v>32</v>
      </c>
      <c r="H36" s="560" t="s">
        <v>32</v>
      </c>
      <c r="I36" s="561">
        <f t="shared" si="8"/>
        <v>1.0503928300000001</v>
      </c>
      <c r="J36" s="376"/>
      <c r="K36" s="558" t="s">
        <v>167</v>
      </c>
      <c r="L36" s="460"/>
      <c r="M36" s="460" t="s">
        <v>168</v>
      </c>
      <c r="N36" s="460"/>
      <c r="O36" s="460"/>
      <c r="P36" s="547"/>
      <c r="Q36" s="438"/>
    </row>
    <row r="37" spans="1:17">
      <c r="A37" s="531">
        <v>43236</v>
      </c>
      <c r="B37" s="532">
        <v>1.7500000000000002E-2</v>
      </c>
      <c r="C37" s="533">
        <v>1.0021266099999999</v>
      </c>
      <c r="E37" s="549">
        <f>E36+4</f>
        <v>44845</v>
      </c>
      <c r="F37" s="559">
        <f t="shared" si="6"/>
        <v>4</v>
      </c>
      <c r="G37" s="560" t="s">
        <v>32</v>
      </c>
      <c r="H37" s="560" t="s">
        <v>32</v>
      </c>
      <c r="I37" s="561">
        <f t="shared" si="8"/>
        <v>1.05065893</v>
      </c>
      <c r="J37" s="376"/>
      <c r="K37" s="385" t="s">
        <v>169</v>
      </c>
      <c r="M37" s="460"/>
      <c r="N37" s="460"/>
      <c r="O37" s="460"/>
      <c r="P37" s="460"/>
      <c r="Q37" s="460"/>
    </row>
    <row r="38" spans="1:17">
      <c r="A38" s="531">
        <v>43237</v>
      </c>
      <c r="B38" s="532">
        <v>1.7399999999999999E-2</v>
      </c>
      <c r="C38" s="533">
        <v>1.0021753200000001</v>
      </c>
      <c r="E38" s="549">
        <f t="shared" si="7"/>
        <v>44846</v>
      </c>
      <c r="F38" s="559">
        <f t="shared" si="6"/>
        <v>1</v>
      </c>
      <c r="G38" s="560" t="s">
        <v>32</v>
      </c>
      <c r="H38" s="560" t="s">
        <v>32</v>
      </c>
      <c r="I38" s="561">
        <f t="shared" si="8"/>
        <v>1.0507254699999999</v>
      </c>
      <c r="J38" s="376"/>
      <c r="K38" s="385" t="s">
        <v>170</v>
      </c>
    </row>
    <row r="39" spans="1:17">
      <c r="A39" s="531">
        <v>43238</v>
      </c>
      <c r="B39" s="532">
        <v>1.7299999999999999E-2</v>
      </c>
      <c r="C39" s="533">
        <v>1.0022237599999999</v>
      </c>
      <c r="E39" s="549">
        <f t="shared" si="7"/>
        <v>44847</v>
      </c>
      <c r="F39" s="559">
        <f t="shared" si="6"/>
        <v>1</v>
      </c>
      <c r="G39" s="560" t="s">
        <v>32</v>
      </c>
      <c r="H39" s="560" t="s">
        <v>32</v>
      </c>
      <c r="I39" s="561">
        <f t="shared" si="8"/>
        <v>1.05079202</v>
      </c>
      <c r="J39" s="376"/>
      <c r="K39" s="385" t="s">
        <v>171</v>
      </c>
    </row>
    <row r="40" spans="1:17">
      <c r="A40" s="531">
        <v>43241</v>
      </c>
      <c r="B40" s="532">
        <v>1.6899999999999998E-2</v>
      </c>
      <c r="C40" s="533">
        <v>1.00236825</v>
      </c>
      <c r="E40" s="549">
        <f>E39+1</f>
        <v>44848</v>
      </c>
      <c r="F40" s="559">
        <f t="shared" si="6"/>
        <v>1</v>
      </c>
      <c r="G40" s="560" t="s">
        <v>32</v>
      </c>
      <c r="H40" s="560" t="s">
        <v>32</v>
      </c>
      <c r="I40" s="561">
        <f t="shared" si="8"/>
        <v>1.0508585699999999</v>
      </c>
      <c r="J40" s="376"/>
      <c r="K40" s="385" t="s">
        <v>172</v>
      </c>
    </row>
    <row r="41" spans="1:17">
      <c r="A41" s="531">
        <v>43242</v>
      </c>
      <c r="B41" s="532">
        <v>1.6500000000000001E-2</v>
      </c>
      <c r="C41" s="533">
        <v>1.0024153099999999</v>
      </c>
      <c r="E41" s="549">
        <f>E40+3</f>
        <v>44851</v>
      </c>
      <c r="F41" s="559">
        <f t="shared" si="6"/>
        <v>3</v>
      </c>
      <c r="G41" s="560" t="s">
        <v>32</v>
      </c>
      <c r="H41" s="560" t="s">
        <v>32</v>
      </c>
      <c r="I41" s="561">
        <f t="shared" si="8"/>
        <v>1.05105823</v>
      </c>
      <c r="J41" s="376"/>
      <c r="K41" s="558" t="s">
        <v>173</v>
      </c>
    </row>
    <row r="42" spans="1:17">
      <c r="A42" s="531">
        <v>43243</v>
      </c>
      <c r="B42" s="532">
        <v>1.67E-2</v>
      </c>
      <c r="C42" s="533">
        <v>1.0024612500000001</v>
      </c>
      <c r="E42" s="549">
        <f t="shared" si="7"/>
        <v>44852</v>
      </c>
      <c r="F42" s="559">
        <f t="shared" si="6"/>
        <v>1</v>
      </c>
      <c r="G42" s="560" t="s">
        <v>32</v>
      </c>
      <c r="H42" s="560" t="s">
        <v>32</v>
      </c>
      <c r="I42" s="561">
        <f t="shared" si="8"/>
        <v>1.0511248</v>
      </c>
      <c r="J42" s="376"/>
      <c r="K42" s="558" t="s">
        <v>174</v>
      </c>
    </row>
    <row r="43" spans="1:17">
      <c r="A43" s="531">
        <v>43244</v>
      </c>
      <c r="B43" s="532">
        <v>1.7399999999999999E-2</v>
      </c>
      <c r="C43" s="533">
        <v>1.0025077499999999</v>
      </c>
      <c r="E43" s="549">
        <f t="shared" si="7"/>
        <v>44853</v>
      </c>
      <c r="F43" s="559">
        <f t="shared" si="6"/>
        <v>1</v>
      </c>
      <c r="G43" s="560" t="s">
        <v>32</v>
      </c>
      <c r="H43" s="560" t="s">
        <v>32</v>
      </c>
      <c r="I43" s="561">
        <f t="shared" si="8"/>
        <v>1.05119137</v>
      </c>
      <c r="J43" s="376"/>
      <c r="K43" s="558" t="s">
        <v>175</v>
      </c>
    </row>
    <row r="44" spans="1:17">
      <c r="A44" s="531">
        <v>43245</v>
      </c>
      <c r="B44" s="532">
        <v>1.7299999999999999E-2</v>
      </c>
      <c r="C44" s="533">
        <v>1.0025562100000001</v>
      </c>
      <c r="E44" s="549">
        <f t="shared" si="7"/>
        <v>44854</v>
      </c>
      <c r="F44" s="559">
        <f t="shared" si="6"/>
        <v>1</v>
      </c>
      <c r="G44" s="560" t="s">
        <v>32</v>
      </c>
      <c r="H44" s="560" t="s">
        <v>32</v>
      </c>
      <c r="I44" s="561">
        <f t="shared" si="8"/>
        <v>1.0512579500000001</v>
      </c>
      <c r="J44" s="376"/>
      <c r="K44" s="558" t="s">
        <v>176</v>
      </c>
    </row>
    <row r="45" spans="1:17">
      <c r="A45" s="531">
        <v>43249</v>
      </c>
      <c r="B45" s="532">
        <v>1.72E-2</v>
      </c>
      <c r="C45" s="533">
        <v>1.0027489199999999</v>
      </c>
      <c r="E45" s="549">
        <f>E44+1</f>
        <v>44855</v>
      </c>
      <c r="F45" s="559">
        <f t="shared" si="6"/>
        <v>1</v>
      </c>
      <c r="G45" s="560" t="s">
        <v>32</v>
      </c>
      <c r="H45" s="560" t="s">
        <v>32</v>
      </c>
      <c r="I45" s="561">
        <f t="shared" si="8"/>
        <v>1.05132453</v>
      </c>
      <c r="J45" s="376"/>
      <c r="K45" s="558" t="s">
        <v>177</v>
      </c>
    </row>
    <row r="46" spans="1:17">
      <c r="A46" s="531">
        <v>43250</v>
      </c>
      <c r="B46" s="532">
        <v>1.72E-2</v>
      </c>
      <c r="C46" s="533">
        <v>1.0027968300000001</v>
      </c>
      <c r="E46" s="549">
        <f>E45+3</f>
        <v>44858</v>
      </c>
      <c r="F46" s="559">
        <f t="shared" si="6"/>
        <v>3</v>
      </c>
      <c r="G46" s="560" t="s">
        <v>32</v>
      </c>
      <c r="H46" s="560" t="s">
        <v>32</v>
      </c>
      <c r="I46" s="561">
        <f t="shared" si="8"/>
        <v>1.05152428</v>
      </c>
      <c r="J46" s="376"/>
      <c r="K46" s="558" t="s">
        <v>178</v>
      </c>
    </row>
    <row r="47" spans="1:17">
      <c r="A47" s="531">
        <v>43251</v>
      </c>
      <c r="B47" s="532">
        <v>1.8100000000000002E-2</v>
      </c>
      <c r="C47" s="533">
        <v>1.00284474</v>
      </c>
      <c r="E47" s="549">
        <f t="shared" si="7"/>
        <v>44859</v>
      </c>
      <c r="F47" s="559">
        <f t="shared" si="6"/>
        <v>1</v>
      </c>
      <c r="G47" s="560" t="s">
        <v>32</v>
      </c>
      <c r="H47" s="560" t="s">
        <v>32</v>
      </c>
      <c r="I47" s="561">
        <f t="shared" si="8"/>
        <v>1.05159088</v>
      </c>
      <c r="J47" s="376"/>
    </row>
    <row r="48" spans="1:17">
      <c r="A48" s="531">
        <v>43252</v>
      </c>
      <c r="B48" s="532">
        <v>1.8100000000000002E-2</v>
      </c>
      <c r="C48" s="533">
        <v>1.00289516</v>
      </c>
      <c r="E48" s="549">
        <f>E47+1</f>
        <v>44860</v>
      </c>
      <c r="F48" s="559">
        <f t="shared" si="6"/>
        <v>1</v>
      </c>
      <c r="G48" s="560" t="s">
        <v>32</v>
      </c>
      <c r="H48" s="560" t="s">
        <v>32</v>
      </c>
      <c r="I48" s="561">
        <f t="shared" si="8"/>
        <v>1.05165748</v>
      </c>
      <c r="J48" s="376"/>
    </row>
    <row r="49" spans="1:11">
      <c r="A49" s="531">
        <v>43255</v>
      </c>
      <c r="B49" s="532">
        <v>1.8000000000000002E-2</v>
      </c>
      <c r="C49" s="533">
        <v>1.0030464299999999</v>
      </c>
      <c r="E49" s="549">
        <f>E48+1</f>
        <v>44861</v>
      </c>
      <c r="F49" s="559">
        <f t="shared" si="6"/>
        <v>1</v>
      </c>
      <c r="G49" s="560" t="s">
        <v>32</v>
      </c>
      <c r="H49" s="560" t="s">
        <v>32</v>
      </c>
      <c r="I49" s="561">
        <f t="shared" si="8"/>
        <v>1.0517240800000001</v>
      </c>
      <c r="J49" s="376"/>
    </row>
    <row r="50" spans="1:11">
      <c r="A50" s="531">
        <v>43256</v>
      </c>
      <c r="B50" s="532">
        <v>1.7500000000000002E-2</v>
      </c>
      <c r="C50" s="533">
        <v>1.00309658</v>
      </c>
      <c r="E50" s="549">
        <f>E49+1</f>
        <v>44862</v>
      </c>
      <c r="F50" s="559">
        <f t="shared" si="6"/>
        <v>1</v>
      </c>
      <c r="G50" s="560" t="s">
        <v>32</v>
      </c>
      <c r="H50" s="560" t="s">
        <v>32</v>
      </c>
      <c r="I50" s="561">
        <f t="shared" si="8"/>
        <v>1.05179069</v>
      </c>
      <c r="J50" s="376"/>
    </row>
    <row r="51" spans="1:11">
      <c r="A51" s="531">
        <v>43257</v>
      </c>
      <c r="B51" s="532">
        <v>1.7299999999999999E-2</v>
      </c>
      <c r="C51" s="533">
        <v>1.00314535</v>
      </c>
      <c r="E51" s="549">
        <f>E50+3</f>
        <v>44865</v>
      </c>
      <c r="F51" s="559">
        <f t="shared" si="6"/>
        <v>3</v>
      </c>
      <c r="G51" s="560" t="s">
        <v>32</v>
      </c>
      <c r="H51" s="560" t="s">
        <v>32</v>
      </c>
      <c r="I51" s="561">
        <f t="shared" si="8"/>
        <v>1.0519905300000001</v>
      </c>
      <c r="J51" s="376"/>
    </row>
    <row r="52" spans="1:11">
      <c r="A52" s="531">
        <v>43258</v>
      </c>
      <c r="B52" s="532">
        <v>1.7100000000000001E-2</v>
      </c>
      <c r="C52" s="533">
        <v>1.00319355</v>
      </c>
      <c r="E52" s="549">
        <f t="shared" si="7"/>
        <v>44866</v>
      </c>
      <c r="F52" s="559">
        <f t="shared" si="6"/>
        <v>1</v>
      </c>
      <c r="G52" s="560" t="s">
        <v>32</v>
      </c>
      <c r="H52" s="560" t="s">
        <v>32</v>
      </c>
      <c r="I52" s="561">
        <f t="shared" si="8"/>
        <v>1.0520571599999999</v>
      </c>
      <c r="J52" s="376"/>
    </row>
    <row r="53" spans="1:11">
      <c r="A53" s="531">
        <v>43259</v>
      </c>
      <c r="B53" s="532">
        <v>1.6899999999999998E-2</v>
      </c>
      <c r="C53" s="533">
        <v>1.0032411999999999</v>
      </c>
      <c r="E53" s="549">
        <f>E52+1</f>
        <v>44867</v>
      </c>
      <c r="F53" s="559">
        <f t="shared" si="6"/>
        <v>1</v>
      </c>
      <c r="G53" s="560" t="s">
        <v>32</v>
      </c>
      <c r="H53" s="560" t="s">
        <v>32</v>
      </c>
      <c r="I53" s="561">
        <f t="shared" si="8"/>
        <v>1.05212379</v>
      </c>
      <c r="J53" s="376"/>
    </row>
    <row r="54" spans="1:11">
      <c r="A54" s="531">
        <v>43262</v>
      </c>
      <c r="B54" s="532">
        <v>1.6899999999999998E-2</v>
      </c>
      <c r="C54" s="533">
        <v>1.0033824899999999</v>
      </c>
      <c r="E54" s="549">
        <f t="shared" si="7"/>
        <v>44868</v>
      </c>
      <c r="F54" s="559">
        <f t="shared" si="6"/>
        <v>1</v>
      </c>
      <c r="G54" s="560" t="s">
        <v>32</v>
      </c>
      <c r="H54" s="560" t="s">
        <v>32</v>
      </c>
      <c r="I54" s="561">
        <f t="shared" si="8"/>
        <v>1.0521904200000001</v>
      </c>
      <c r="J54" s="376"/>
    </row>
    <row r="55" spans="1:11">
      <c r="A55" s="531">
        <v>43263</v>
      </c>
      <c r="B55" s="532">
        <v>1.67E-2</v>
      </c>
      <c r="C55" s="533">
        <v>1.0034296</v>
      </c>
      <c r="E55" s="549">
        <f>E54+1</f>
        <v>44869</v>
      </c>
      <c r="F55" s="559">
        <f t="shared" si="6"/>
        <v>1</v>
      </c>
      <c r="G55" s="560" t="s">
        <v>32</v>
      </c>
      <c r="H55" s="560" t="s">
        <v>32</v>
      </c>
      <c r="I55" s="561">
        <f t="shared" si="8"/>
        <v>1.0522570600000001</v>
      </c>
      <c r="J55" s="376"/>
    </row>
    <row r="56" spans="1:11">
      <c r="A56" s="531">
        <v>43264</v>
      </c>
      <c r="B56" s="532">
        <v>1.7100000000000001E-2</v>
      </c>
      <c r="C56" s="533">
        <v>1.00347615</v>
      </c>
      <c r="E56" s="549">
        <f>E55+3</f>
        <v>44872</v>
      </c>
      <c r="F56" s="559">
        <f t="shared" si="6"/>
        <v>3</v>
      </c>
      <c r="G56" s="560" t="s">
        <v>32</v>
      </c>
      <c r="H56" s="560" t="s">
        <v>32</v>
      </c>
      <c r="I56" s="561">
        <f t="shared" si="8"/>
        <v>1.05245699</v>
      </c>
      <c r="J56" s="376"/>
    </row>
    <row r="57" spans="1:11">
      <c r="A57" s="531">
        <v>43265</v>
      </c>
      <c r="B57" s="532">
        <v>1.9E-2</v>
      </c>
      <c r="C57" s="533">
        <v>1.0035238099999999</v>
      </c>
      <c r="E57" s="549">
        <f t="shared" si="7"/>
        <v>44873</v>
      </c>
      <c r="F57" s="559">
        <f t="shared" si="6"/>
        <v>1</v>
      </c>
      <c r="G57" s="560" t="s">
        <v>32</v>
      </c>
      <c r="H57" s="560" t="s">
        <v>32</v>
      </c>
      <c r="I57" s="561">
        <f t="shared" si="8"/>
        <v>1.0525236499999999</v>
      </c>
      <c r="J57" s="376"/>
    </row>
    <row r="58" spans="1:11">
      <c r="A58" s="531">
        <v>43266</v>
      </c>
      <c r="B58" s="532">
        <v>1.9099999999999999E-2</v>
      </c>
      <c r="C58" s="533">
        <v>1.00357677</v>
      </c>
      <c r="E58" s="549">
        <f t="shared" si="7"/>
        <v>44874</v>
      </c>
      <c r="F58" s="559">
        <f t="shared" si="6"/>
        <v>1</v>
      </c>
      <c r="G58" s="560" t="s">
        <v>32</v>
      </c>
      <c r="H58" s="560" t="s">
        <v>32</v>
      </c>
      <c r="I58" s="561">
        <f t="shared" si="8"/>
        <v>1.05259031</v>
      </c>
      <c r="J58" s="376"/>
    </row>
    <row r="59" spans="1:11">
      <c r="A59" s="531">
        <v>43269</v>
      </c>
      <c r="B59" s="532">
        <v>1.9E-2</v>
      </c>
      <c r="C59" s="533">
        <v>1.00373651</v>
      </c>
      <c r="E59" s="549">
        <f>E58+1</f>
        <v>44875</v>
      </c>
      <c r="F59" s="559">
        <f t="shared" si="6"/>
        <v>1</v>
      </c>
      <c r="G59" s="560" t="s">
        <v>32</v>
      </c>
      <c r="H59" s="560" t="s">
        <v>32</v>
      </c>
      <c r="I59" s="561">
        <f t="shared" si="8"/>
        <v>1.0526569699999999</v>
      </c>
      <c r="J59" s="376"/>
    </row>
    <row r="60" spans="1:11">
      <c r="A60" s="531">
        <v>43270</v>
      </c>
      <c r="B60" s="532">
        <v>1.8799999999999997E-2</v>
      </c>
      <c r="C60" s="533">
        <v>1.00378949</v>
      </c>
      <c r="E60" s="549">
        <f>E59+4</f>
        <v>44879</v>
      </c>
      <c r="F60" s="559">
        <f t="shared" si="6"/>
        <v>4</v>
      </c>
      <c r="G60" s="560" t="s">
        <v>32</v>
      </c>
      <c r="H60" s="560" t="s">
        <v>32</v>
      </c>
      <c r="I60" s="561">
        <f t="shared" si="8"/>
        <v>1.0529236399999999</v>
      </c>
      <c r="J60" s="376"/>
    </row>
    <row r="61" spans="1:11">
      <c r="A61" s="531">
        <v>43271</v>
      </c>
      <c r="B61" s="532">
        <v>1.8700000000000001E-2</v>
      </c>
      <c r="C61" s="533">
        <v>1.00384191</v>
      </c>
      <c r="E61" s="594">
        <f t="shared" si="7"/>
        <v>44880</v>
      </c>
      <c r="F61" s="595">
        <f t="shared" si="6"/>
        <v>1</v>
      </c>
      <c r="G61" s="440" t="s">
        <v>32</v>
      </c>
      <c r="H61" s="440" t="s">
        <v>32</v>
      </c>
      <c r="I61" s="596">
        <f>ROUND((I60*(1+($H$20/360)*F61)),8)</f>
        <v>1.0529903300000001</v>
      </c>
      <c r="J61" s="376"/>
      <c r="K61" s="597"/>
    </row>
    <row r="62" spans="1:11">
      <c r="A62" s="531">
        <v>43272</v>
      </c>
      <c r="B62" s="532">
        <v>1.8700000000000001E-2</v>
      </c>
      <c r="C62" s="533">
        <v>1.00389405</v>
      </c>
      <c r="E62" s="549">
        <f t="shared" si="7"/>
        <v>44881</v>
      </c>
      <c r="F62" s="559">
        <f t="shared" si="6"/>
        <v>1</v>
      </c>
      <c r="G62" s="560" t="s">
        <v>32</v>
      </c>
      <c r="H62" s="560" t="s">
        <v>32</v>
      </c>
      <c r="I62" s="561">
        <f>ROUND((I61*(1+($H$20/360)*F62)),8)</f>
        <v>1.05305702</v>
      </c>
      <c r="J62" s="376"/>
    </row>
    <row r="63" spans="1:11">
      <c r="A63" s="531">
        <v>43273</v>
      </c>
      <c r="B63" s="532">
        <v>1.9199999999999998E-2</v>
      </c>
      <c r="C63" s="533">
        <v>1.0039461999999999</v>
      </c>
      <c r="E63" s="549">
        <f t="shared" si="7"/>
        <v>44882</v>
      </c>
      <c r="F63" s="559">
        <f t="shared" si="6"/>
        <v>1</v>
      </c>
      <c r="G63" s="560" t="s">
        <v>32</v>
      </c>
      <c r="H63" s="560" t="s">
        <v>32</v>
      </c>
      <c r="I63" s="561">
        <f t="shared" ref="I63:I66" si="9">ROUND((I62*(1+($H$20/360)*F63)),8)</f>
        <v>1.0531237099999999</v>
      </c>
      <c r="J63" s="376"/>
    </row>
    <row r="64" spans="1:11">
      <c r="A64" s="531">
        <v>43276</v>
      </c>
      <c r="B64" s="532">
        <v>1.9099999999999999E-2</v>
      </c>
      <c r="C64" s="533">
        <v>1.00410683</v>
      </c>
      <c r="E64" s="549">
        <f t="shared" si="7"/>
        <v>44883</v>
      </c>
      <c r="F64" s="559">
        <f t="shared" si="6"/>
        <v>1</v>
      </c>
      <c r="G64" s="560" t="s">
        <v>32</v>
      </c>
      <c r="H64" s="560" t="s">
        <v>32</v>
      </c>
      <c r="I64" s="561">
        <f t="shared" si="9"/>
        <v>1.05319041</v>
      </c>
      <c r="J64" s="376"/>
    </row>
    <row r="65" spans="1:10">
      <c r="A65" s="531">
        <v>43277</v>
      </c>
      <c r="B65" s="532">
        <v>1.9E-2</v>
      </c>
      <c r="C65" s="533">
        <v>1.0041601</v>
      </c>
      <c r="E65" s="549">
        <f t="shared" si="7"/>
        <v>44884</v>
      </c>
      <c r="F65" s="559">
        <f t="shared" si="6"/>
        <v>1</v>
      </c>
      <c r="G65" s="560" t="s">
        <v>32</v>
      </c>
      <c r="H65" s="560" t="s">
        <v>32</v>
      </c>
      <c r="I65" s="561">
        <f t="shared" si="9"/>
        <v>1.0532571100000001</v>
      </c>
      <c r="J65" s="376"/>
    </row>
    <row r="66" spans="1:10">
      <c r="A66" s="531">
        <v>43278</v>
      </c>
      <c r="B66" s="532">
        <v>1.9E-2</v>
      </c>
      <c r="C66" s="533">
        <v>1.0042131000000001</v>
      </c>
      <c r="E66" s="549">
        <f t="shared" si="7"/>
        <v>44885</v>
      </c>
      <c r="F66" s="559">
        <f t="shared" si="6"/>
        <v>1</v>
      </c>
      <c r="G66" s="560" t="s">
        <v>32</v>
      </c>
      <c r="H66" s="560" t="s">
        <v>32</v>
      </c>
      <c r="I66" s="561">
        <f t="shared" si="9"/>
        <v>1.0533238199999999</v>
      </c>
      <c r="J66" s="376"/>
    </row>
    <row r="67" spans="1:10">
      <c r="A67" s="531">
        <v>43279</v>
      </c>
      <c r="B67" s="532">
        <v>1.9299999999999998E-2</v>
      </c>
      <c r="C67" s="533">
        <v>1.0042660999999999</v>
      </c>
    </row>
    <row r="68" spans="1:10">
      <c r="A68" s="531">
        <v>43280</v>
      </c>
      <c r="B68" s="532">
        <v>2.12E-2</v>
      </c>
      <c r="C68" s="533">
        <v>1.00431994</v>
      </c>
    </row>
    <row r="69" spans="1:10">
      <c r="A69" s="531">
        <v>43283</v>
      </c>
      <c r="B69" s="532">
        <v>2.0400000000000001E-2</v>
      </c>
      <c r="C69" s="533">
        <v>1.0044973699999999</v>
      </c>
    </row>
    <row r="70" spans="1:10">
      <c r="A70" s="531">
        <v>43284</v>
      </c>
      <c r="B70" s="532">
        <v>0.02</v>
      </c>
      <c r="C70" s="533">
        <v>1.00455429</v>
      </c>
    </row>
    <row r="71" spans="1:10">
      <c r="A71" s="531">
        <v>43286</v>
      </c>
      <c r="B71" s="532">
        <v>1.9699999999999999E-2</v>
      </c>
      <c r="C71" s="533">
        <v>1.0046659099999999</v>
      </c>
    </row>
    <row r="72" spans="1:10">
      <c r="A72" s="531">
        <v>43287</v>
      </c>
      <c r="B72" s="532">
        <v>1.9299999999999998E-2</v>
      </c>
      <c r="C72" s="533">
        <v>1.00472088</v>
      </c>
    </row>
    <row r="73" spans="1:10">
      <c r="A73" s="531">
        <v>43290</v>
      </c>
      <c r="B73" s="532">
        <v>1.89E-2</v>
      </c>
      <c r="C73" s="533">
        <v>1.00488248</v>
      </c>
    </row>
    <row r="74" spans="1:10">
      <c r="A74" s="531">
        <v>43291</v>
      </c>
      <c r="B74" s="532">
        <v>1.89E-2</v>
      </c>
      <c r="C74" s="533">
        <v>1.0049352300000001</v>
      </c>
    </row>
    <row r="75" spans="1:10">
      <c r="A75" s="531">
        <v>43292</v>
      </c>
      <c r="B75" s="532">
        <v>1.89E-2</v>
      </c>
      <c r="C75" s="533">
        <v>1.0049879900000001</v>
      </c>
    </row>
    <row r="76" spans="1:10">
      <c r="A76" s="531">
        <v>43293</v>
      </c>
      <c r="B76" s="532">
        <v>1.9E-2</v>
      </c>
      <c r="C76" s="533">
        <v>1.00504075</v>
      </c>
    </row>
    <row r="77" spans="1:10">
      <c r="A77" s="531">
        <v>43294</v>
      </c>
      <c r="B77" s="532">
        <v>1.9E-2</v>
      </c>
      <c r="C77" s="533">
        <v>1.0050938</v>
      </c>
    </row>
    <row r="78" spans="1:10">
      <c r="A78" s="531">
        <v>43297</v>
      </c>
      <c r="B78" s="532">
        <v>1.95E-2</v>
      </c>
      <c r="C78" s="533">
        <v>1.0052529400000001</v>
      </c>
    </row>
    <row r="79" spans="1:10">
      <c r="A79" s="531">
        <v>43298</v>
      </c>
      <c r="B79" s="532">
        <v>1.9199999999999998E-2</v>
      </c>
      <c r="C79" s="533">
        <v>1.00530739</v>
      </c>
    </row>
    <row r="80" spans="1:10">
      <c r="A80" s="531">
        <v>43299</v>
      </c>
      <c r="B80" s="532">
        <v>1.9E-2</v>
      </c>
      <c r="C80" s="533">
        <v>1.0053610100000001</v>
      </c>
    </row>
    <row r="81" spans="1:3">
      <c r="A81" s="531">
        <v>43300</v>
      </c>
      <c r="B81" s="532">
        <v>1.9E-2</v>
      </c>
      <c r="C81" s="533">
        <v>1.00541407</v>
      </c>
    </row>
    <row r="82" spans="1:3">
      <c r="A82" s="531">
        <v>43301</v>
      </c>
      <c r="B82" s="532">
        <v>1.8799999999999997E-2</v>
      </c>
      <c r="C82" s="533">
        <v>1.00546713</v>
      </c>
    </row>
    <row r="83" spans="1:3">
      <c r="A83" s="531">
        <v>43304</v>
      </c>
      <c r="B83" s="532">
        <v>1.8700000000000001E-2</v>
      </c>
      <c r="C83" s="533">
        <v>1.0056246499999999</v>
      </c>
    </row>
    <row r="84" spans="1:3">
      <c r="A84" s="531">
        <v>43305</v>
      </c>
      <c r="B84" s="532">
        <v>1.9E-2</v>
      </c>
      <c r="C84" s="533">
        <v>1.0056768899999999</v>
      </c>
    </row>
    <row r="85" spans="1:3">
      <c r="A85" s="531">
        <v>43306</v>
      </c>
      <c r="B85" s="532">
        <v>1.8700000000000001E-2</v>
      </c>
      <c r="C85" s="533">
        <v>1.00572997</v>
      </c>
    </row>
    <row r="86" spans="1:3">
      <c r="A86" s="531">
        <v>43307</v>
      </c>
      <c r="B86" s="532">
        <v>1.9E-2</v>
      </c>
      <c r="C86" s="533">
        <v>1.00578221</v>
      </c>
    </row>
    <row r="87" spans="1:3">
      <c r="A87" s="531">
        <v>43308</v>
      </c>
      <c r="B87" s="532">
        <v>1.8799999999999997E-2</v>
      </c>
      <c r="C87" s="533">
        <v>1.00583529</v>
      </c>
    </row>
    <row r="88" spans="1:3">
      <c r="A88" s="531">
        <v>43311</v>
      </c>
      <c r="B88" s="532">
        <v>1.8799999999999997E-2</v>
      </c>
      <c r="C88" s="533">
        <v>1.00599287</v>
      </c>
    </row>
    <row r="89" spans="1:3">
      <c r="A89" s="531">
        <v>43312</v>
      </c>
      <c r="B89" s="532">
        <v>1.9299999999999998E-2</v>
      </c>
      <c r="C89" s="533">
        <v>1.00604541</v>
      </c>
    </row>
    <row r="90" spans="1:3">
      <c r="A90" s="531">
        <v>43313</v>
      </c>
      <c r="B90" s="532">
        <v>1.8799999999999997E-2</v>
      </c>
      <c r="C90" s="533">
        <v>1.00609934</v>
      </c>
    </row>
    <row r="91" spans="1:3">
      <c r="A91" s="531">
        <v>43314</v>
      </c>
      <c r="B91" s="532">
        <v>1.9099999999999999E-2</v>
      </c>
      <c r="C91" s="533">
        <v>1.00615188</v>
      </c>
    </row>
    <row r="92" spans="1:3">
      <c r="A92" s="531">
        <v>43315</v>
      </c>
      <c r="B92" s="532">
        <v>1.8600000000000002E-2</v>
      </c>
      <c r="C92" s="533">
        <v>1.0062052699999999</v>
      </c>
    </row>
    <row r="93" spans="1:3">
      <c r="A93" s="531">
        <v>43318</v>
      </c>
      <c r="B93" s="532">
        <v>1.8600000000000002E-2</v>
      </c>
      <c r="C93" s="533">
        <v>1.00636123</v>
      </c>
    </row>
    <row r="94" spans="1:3">
      <c r="A94" s="531">
        <v>43319</v>
      </c>
      <c r="B94" s="532">
        <v>1.8700000000000001E-2</v>
      </c>
      <c r="C94" s="533">
        <v>1.00641322</v>
      </c>
    </row>
    <row r="95" spans="1:3">
      <c r="A95" s="531">
        <v>43320</v>
      </c>
      <c r="B95" s="532">
        <v>1.8799999999999997E-2</v>
      </c>
      <c r="C95" s="533">
        <v>1.0064655</v>
      </c>
    </row>
    <row r="96" spans="1:3">
      <c r="A96" s="531">
        <v>43321</v>
      </c>
      <c r="B96" s="532">
        <v>1.9099999999999999E-2</v>
      </c>
      <c r="C96" s="533">
        <v>1.0065180600000001</v>
      </c>
    </row>
    <row r="97" spans="1:3">
      <c r="A97" s="531">
        <v>43322</v>
      </c>
      <c r="B97" s="532">
        <v>1.9E-2</v>
      </c>
      <c r="C97" s="533">
        <v>1.00657146</v>
      </c>
    </row>
    <row r="98" spans="1:3">
      <c r="A98" s="531">
        <v>43325</v>
      </c>
      <c r="B98" s="532">
        <v>1.9099999999999999E-2</v>
      </c>
      <c r="C98" s="533">
        <v>1.0067308399999999</v>
      </c>
    </row>
    <row r="99" spans="1:3">
      <c r="A99" s="531">
        <v>43326</v>
      </c>
      <c r="B99" s="532">
        <v>1.9299999999999998E-2</v>
      </c>
      <c r="C99" s="533">
        <v>1.0067842499999999</v>
      </c>
    </row>
    <row r="100" spans="1:3">
      <c r="A100" s="531">
        <v>43327</v>
      </c>
      <c r="B100" s="532">
        <v>1.9799999999999998E-2</v>
      </c>
      <c r="C100" s="533">
        <v>1.0068382199999999</v>
      </c>
    </row>
    <row r="101" spans="1:3">
      <c r="A101" s="531">
        <v>43328</v>
      </c>
      <c r="B101" s="532">
        <v>1.9900000000000001E-2</v>
      </c>
      <c r="C101" s="533">
        <v>1.0068935999999999</v>
      </c>
    </row>
    <row r="102" spans="1:3">
      <c r="A102" s="531">
        <v>43329</v>
      </c>
      <c r="B102" s="532">
        <v>1.9E-2</v>
      </c>
      <c r="C102" s="533">
        <v>1.0069492600000001</v>
      </c>
    </row>
    <row r="103" spans="1:3">
      <c r="A103" s="531">
        <v>43332</v>
      </c>
      <c r="B103" s="532">
        <v>1.9E-2</v>
      </c>
      <c r="C103" s="533">
        <v>1.0071086899999999</v>
      </c>
    </row>
    <row r="104" spans="1:3">
      <c r="A104" s="531">
        <v>43333</v>
      </c>
      <c r="B104" s="532">
        <v>1.9E-2</v>
      </c>
      <c r="C104" s="533">
        <v>1.00716184</v>
      </c>
    </row>
    <row r="105" spans="1:3">
      <c r="A105" s="531">
        <v>43334</v>
      </c>
      <c r="B105" s="532">
        <v>1.9E-2</v>
      </c>
      <c r="C105" s="533">
        <v>1.007215</v>
      </c>
    </row>
    <row r="106" spans="1:3">
      <c r="A106" s="531">
        <v>43335</v>
      </c>
      <c r="B106" s="532">
        <v>1.9400000000000001E-2</v>
      </c>
      <c r="C106" s="533">
        <v>1.00726816</v>
      </c>
    </row>
    <row r="107" spans="1:3">
      <c r="A107" s="531">
        <v>43336</v>
      </c>
      <c r="B107" s="532">
        <v>1.95E-2</v>
      </c>
      <c r="C107" s="533">
        <v>1.00732244</v>
      </c>
    </row>
    <row r="108" spans="1:3">
      <c r="A108" s="531">
        <v>43339</v>
      </c>
      <c r="B108" s="532">
        <v>1.95E-2</v>
      </c>
      <c r="C108" s="533">
        <v>1.00748613</v>
      </c>
    </row>
    <row r="109" spans="1:3">
      <c r="A109" s="531">
        <v>43340</v>
      </c>
      <c r="B109" s="532">
        <v>1.95E-2</v>
      </c>
      <c r="C109" s="533">
        <v>1.0075407000000001</v>
      </c>
    </row>
    <row r="110" spans="1:3">
      <c r="A110" s="531">
        <v>43341</v>
      </c>
      <c r="B110" s="532">
        <v>1.9299999999999998E-2</v>
      </c>
      <c r="C110" s="533">
        <v>1.0075952800000001</v>
      </c>
    </row>
    <row r="111" spans="1:3">
      <c r="A111" s="531">
        <v>43342</v>
      </c>
      <c r="B111" s="532">
        <v>1.9299999999999998E-2</v>
      </c>
      <c r="C111" s="533">
        <v>1.0076493</v>
      </c>
    </row>
    <row r="112" spans="1:3">
      <c r="A112" s="531">
        <v>43343</v>
      </c>
      <c r="B112" s="532">
        <v>1.9699999999999999E-2</v>
      </c>
      <c r="C112" s="533">
        <v>1.0077033200000001</v>
      </c>
    </row>
    <row r="113" spans="1:3">
      <c r="A113" s="531">
        <v>43347</v>
      </c>
      <c r="B113" s="532">
        <v>1.95E-2</v>
      </c>
      <c r="C113" s="533">
        <v>1.00792389</v>
      </c>
    </row>
    <row r="114" spans="1:3">
      <c r="A114" s="531">
        <v>43348</v>
      </c>
      <c r="B114" s="532">
        <v>1.95E-2</v>
      </c>
      <c r="C114" s="533">
        <v>1.0079784899999999</v>
      </c>
    </row>
    <row r="115" spans="1:3">
      <c r="A115" s="531">
        <v>43349</v>
      </c>
      <c r="B115" s="532">
        <v>1.9400000000000001E-2</v>
      </c>
      <c r="C115" s="533">
        <v>1.0080330900000001</v>
      </c>
    </row>
    <row r="116" spans="1:3">
      <c r="A116" s="531">
        <v>43350</v>
      </c>
      <c r="B116" s="532">
        <v>1.9400000000000001E-2</v>
      </c>
      <c r="C116" s="533">
        <v>1.0080874099999999</v>
      </c>
    </row>
    <row r="117" spans="1:3">
      <c r="A117" s="531">
        <v>43353</v>
      </c>
      <c r="B117" s="532">
        <v>1.9400000000000001E-2</v>
      </c>
      <c r="C117" s="533">
        <v>1.00825038</v>
      </c>
    </row>
    <row r="118" spans="1:3">
      <c r="A118" s="531">
        <v>43354</v>
      </c>
      <c r="B118" s="532">
        <v>1.9400000000000001E-2</v>
      </c>
      <c r="C118" s="533">
        <v>1.0083047199999999</v>
      </c>
    </row>
    <row r="119" spans="1:3">
      <c r="A119" s="531">
        <v>43355</v>
      </c>
      <c r="B119" s="532">
        <v>1.9400000000000001E-2</v>
      </c>
      <c r="C119" s="533">
        <v>1.0083590499999999</v>
      </c>
    </row>
    <row r="120" spans="1:3">
      <c r="A120" s="531">
        <v>43356</v>
      </c>
      <c r="B120" s="532">
        <v>1.9400000000000001E-2</v>
      </c>
      <c r="C120" s="533">
        <v>1.0084133900000001</v>
      </c>
    </row>
    <row r="121" spans="1:3">
      <c r="A121" s="531">
        <v>43357</v>
      </c>
      <c r="B121" s="532">
        <v>1.95E-2</v>
      </c>
      <c r="C121" s="533">
        <v>1.00846773</v>
      </c>
    </row>
    <row r="122" spans="1:3">
      <c r="A122" s="531">
        <v>43360</v>
      </c>
      <c r="B122" s="532">
        <v>0.02</v>
      </c>
      <c r="C122" s="533">
        <v>1.0086316099999999</v>
      </c>
    </row>
    <row r="123" spans="1:3">
      <c r="A123" s="531">
        <v>43361</v>
      </c>
      <c r="B123" s="532">
        <v>1.9400000000000001E-2</v>
      </c>
      <c r="C123" s="533">
        <v>1.00868764</v>
      </c>
    </row>
    <row r="124" spans="1:3">
      <c r="A124" s="531">
        <v>43362</v>
      </c>
      <c r="B124" s="532">
        <v>1.9199999999999998E-2</v>
      </c>
      <c r="C124" s="533">
        <v>1.008742</v>
      </c>
    </row>
    <row r="125" spans="1:3">
      <c r="A125" s="531">
        <v>43363</v>
      </c>
      <c r="B125" s="532">
        <v>1.9199999999999998E-2</v>
      </c>
      <c r="C125" s="533">
        <v>1.0087957999999999</v>
      </c>
    </row>
    <row r="126" spans="1:3">
      <c r="A126" s="531">
        <v>43364</v>
      </c>
      <c r="B126" s="532">
        <v>1.9199999999999998E-2</v>
      </c>
      <c r="C126" s="533">
        <v>1.0088496</v>
      </c>
    </row>
    <row r="127" spans="1:3">
      <c r="A127" s="531">
        <v>43367</v>
      </c>
      <c r="B127" s="532">
        <v>1.95E-2</v>
      </c>
      <c r="C127" s="533">
        <v>1.00901102</v>
      </c>
    </row>
    <row r="128" spans="1:3">
      <c r="A128" s="531">
        <v>43368</v>
      </c>
      <c r="B128" s="532">
        <v>1.9299999999999998E-2</v>
      </c>
      <c r="C128" s="533">
        <v>1.00906567</v>
      </c>
    </row>
    <row r="129" spans="1:3">
      <c r="A129" s="531">
        <v>43369</v>
      </c>
      <c r="B129" s="532">
        <v>1.9199999999999998E-2</v>
      </c>
      <c r="C129" s="533">
        <v>1.0091197700000001</v>
      </c>
    </row>
    <row r="130" spans="1:3">
      <c r="A130" s="531">
        <v>43370</v>
      </c>
      <c r="B130" s="532">
        <v>2.1600000000000001E-2</v>
      </c>
      <c r="C130" s="533">
        <v>1.0091735900000001</v>
      </c>
    </row>
    <row r="131" spans="1:3">
      <c r="A131" s="531">
        <v>43371</v>
      </c>
      <c r="B131" s="532">
        <v>2.2499999999999999E-2</v>
      </c>
      <c r="C131" s="533">
        <v>1.00923414</v>
      </c>
    </row>
    <row r="132" spans="1:3">
      <c r="A132" s="531">
        <v>43374</v>
      </c>
      <c r="B132" s="532">
        <v>2.2200000000000001E-2</v>
      </c>
      <c r="C132" s="533">
        <v>1.0094233699999999</v>
      </c>
    </row>
    <row r="133" spans="1:3">
      <c r="A133" s="531">
        <v>43375</v>
      </c>
      <c r="B133" s="532">
        <v>2.2000000000000002E-2</v>
      </c>
      <c r="C133" s="533">
        <v>1.00948562</v>
      </c>
    </row>
    <row r="134" spans="1:3">
      <c r="A134" s="531">
        <v>43376</v>
      </c>
      <c r="B134" s="532">
        <v>2.2000000000000002E-2</v>
      </c>
      <c r="C134" s="533">
        <v>1.0095473100000001</v>
      </c>
    </row>
    <row r="135" spans="1:3">
      <c r="A135" s="531">
        <v>43377</v>
      </c>
      <c r="B135" s="532">
        <v>2.18E-2</v>
      </c>
      <c r="C135" s="533">
        <v>1.0096090099999999</v>
      </c>
    </row>
    <row r="136" spans="1:3">
      <c r="A136" s="531">
        <v>43378</v>
      </c>
      <c r="B136" s="532">
        <v>2.1600000000000001E-2</v>
      </c>
      <c r="C136" s="533">
        <v>1.0096701400000001</v>
      </c>
    </row>
    <row r="137" spans="1:3">
      <c r="A137" s="531">
        <v>43382</v>
      </c>
      <c r="B137" s="532">
        <v>2.1499999999999998E-2</v>
      </c>
      <c r="C137" s="533">
        <v>1.00991246</v>
      </c>
    </row>
    <row r="138" spans="1:3">
      <c r="A138" s="531">
        <v>43383</v>
      </c>
      <c r="B138" s="532">
        <v>2.1499999999999998E-2</v>
      </c>
      <c r="C138" s="533">
        <v>1.00997278</v>
      </c>
    </row>
    <row r="139" spans="1:3">
      <c r="A139" s="531">
        <v>43384</v>
      </c>
      <c r="B139" s="532">
        <v>2.1700000000000001E-2</v>
      </c>
      <c r="C139" s="533">
        <v>1.0100331</v>
      </c>
    </row>
    <row r="140" spans="1:3">
      <c r="A140" s="531">
        <v>43385</v>
      </c>
      <c r="B140" s="532">
        <v>2.18E-2</v>
      </c>
      <c r="C140" s="533">
        <v>1.0100939799999999</v>
      </c>
    </row>
    <row r="141" spans="1:3">
      <c r="A141" s="531">
        <v>43388</v>
      </c>
      <c r="B141" s="532">
        <v>2.2099999999999998E-2</v>
      </c>
      <c r="C141" s="533">
        <v>1.0102774800000001</v>
      </c>
    </row>
    <row r="142" spans="1:3">
      <c r="A142" s="531">
        <v>43389</v>
      </c>
      <c r="B142" s="532">
        <v>2.18E-2</v>
      </c>
      <c r="C142" s="533">
        <v>1.0103394999999999</v>
      </c>
    </row>
    <row r="143" spans="1:3">
      <c r="A143" s="531">
        <v>43390</v>
      </c>
      <c r="B143" s="532">
        <v>2.18E-2</v>
      </c>
      <c r="C143" s="533">
        <v>1.0104006800000001</v>
      </c>
    </row>
    <row r="144" spans="1:3">
      <c r="A144" s="531">
        <v>43391</v>
      </c>
      <c r="B144" s="532">
        <v>2.1899999999999999E-2</v>
      </c>
      <c r="C144" s="533">
        <v>1.0104618700000001</v>
      </c>
    </row>
    <row r="145" spans="1:3">
      <c r="A145" s="531">
        <v>43392</v>
      </c>
      <c r="B145" s="532">
        <v>2.1899999999999999E-2</v>
      </c>
      <c r="C145" s="533">
        <v>1.01052334</v>
      </c>
    </row>
    <row r="146" spans="1:3">
      <c r="A146" s="531">
        <v>43395</v>
      </c>
      <c r="B146" s="532">
        <v>2.18E-2</v>
      </c>
      <c r="C146" s="533">
        <v>1.0107077600000001</v>
      </c>
    </row>
    <row r="147" spans="1:3">
      <c r="A147" s="531">
        <v>43396</v>
      </c>
      <c r="B147" s="532">
        <v>2.1700000000000001E-2</v>
      </c>
      <c r="C147" s="533">
        <v>1.01076896</v>
      </c>
    </row>
    <row r="148" spans="1:3">
      <c r="A148" s="531">
        <v>43397</v>
      </c>
      <c r="B148" s="532">
        <v>2.18E-2</v>
      </c>
      <c r="C148" s="533">
        <v>1.0108298899999999</v>
      </c>
    </row>
    <row r="149" spans="1:3">
      <c r="A149" s="531">
        <v>43398</v>
      </c>
      <c r="B149" s="532">
        <v>2.1899999999999999E-2</v>
      </c>
      <c r="C149" s="533">
        <v>1.0108911</v>
      </c>
    </row>
    <row r="150" spans="1:3">
      <c r="A150" s="531">
        <v>43399</v>
      </c>
      <c r="B150" s="532">
        <v>2.1899999999999999E-2</v>
      </c>
      <c r="C150" s="533">
        <v>1.01095259</v>
      </c>
    </row>
    <row r="151" spans="1:3">
      <c r="A151" s="531">
        <v>43402</v>
      </c>
      <c r="B151" s="532">
        <v>2.18E-2</v>
      </c>
      <c r="C151" s="533">
        <v>1.0111370900000001</v>
      </c>
    </row>
    <row r="152" spans="1:3">
      <c r="A152" s="531">
        <v>43403</v>
      </c>
      <c r="B152" s="532">
        <v>2.18E-2</v>
      </c>
      <c r="C152" s="533">
        <v>1.0111983200000001</v>
      </c>
    </row>
    <row r="153" spans="1:3">
      <c r="A153" s="531">
        <v>43404</v>
      </c>
      <c r="B153" s="532">
        <v>2.2200000000000001E-2</v>
      </c>
      <c r="C153" s="533">
        <v>1.0112595600000001</v>
      </c>
    </row>
    <row r="154" spans="1:3">
      <c r="A154" s="531">
        <v>43405</v>
      </c>
      <c r="B154" s="532">
        <v>2.2200000000000001E-2</v>
      </c>
      <c r="C154" s="533">
        <v>1.0113219200000001</v>
      </c>
    </row>
    <row r="155" spans="1:3">
      <c r="A155" s="531">
        <v>43406</v>
      </c>
      <c r="B155" s="532">
        <v>2.2499999999999999E-2</v>
      </c>
      <c r="C155" s="533">
        <v>1.0113842799999999</v>
      </c>
    </row>
    <row r="156" spans="1:3">
      <c r="A156" s="531">
        <v>43409</v>
      </c>
      <c r="B156" s="532">
        <v>2.2400000000000003E-2</v>
      </c>
      <c r="C156" s="533">
        <v>1.01157392</v>
      </c>
    </row>
    <row r="157" spans="1:3">
      <c r="A157" s="531">
        <v>43410</v>
      </c>
      <c r="B157" s="532">
        <v>2.2200000000000001E-2</v>
      </c>
      <c r="C157" s="533">
        <v>1.0116368600000001</v>
      </c>
    </row>
    <row r="158" spans="1:3">
      <c r="A158" s="531">
        <v>43411</v>
      </c>
      <c r="B158" s="532">
        <v>2.18E-2</v>
      </c>
      <c r="C158" s="533">
        <v>1.01169924</v>
      </c>
    </row>
    <row r="159" spans="1:3">
      <c r="A159" s="531">
        <v>43412</v>
      </c>
      <c r="B159" s="532">
        <v>2.2099999999999998E-2</v>
      </c>
      <c r="C159" s="533">
        <v>1.01176051</v>
      </c>
    </row>
    <row r="160" spans="1:3">
      <c r="A160" s="531">
        <v>43413</v>
      </c>
      <c r="B160" s="532">
        <v>2.2000000000000002E-2</v>
      </c>
      <c r="C160" s="533">
        <v>1.01182262</v>
      </c>
    </row>
    <row r="161" spans="1:3">
      <c r="A161" s="531">
        <v>43417</v>
      </c>
      <c r="B161" s="532">
        <v>2.2000000000000002E-2</v>
      </c>
      <c r="C161" s="533">
        <v>1.0120699500000001</v>
      </c>
    </row>
    <row r="162" spans="1:3">
      <c r="A162" s="531">
        <v>43418</v>
      </c>
      <c r="B162" s="532">
        <v>2.2000000000000002E-2</v>
      </c>
      <c r="C162" s="533">
        <v>1.0121317999999999</v>
      </c>
    </row>
    <row r="163" spans="1:3">
      <c r="A163" s="531">
        <v>43419</v>
      </c>
      <c r="B163" s="532">
        <v>2.2799999999999997E-2</v>
      </c>
      <c r="C163" s="533">
        <v>1.0121936499999999</v>
      </c>
    </row>
    <row r="164" spans="1:3">
      <c r="A164" s="531">
        <v>43420</v>
      </c>
      <c r="B164" s="532">
        <v>2.2599999999999999E-2</v>
      </c>
      <c r="C164" s="533">
        <v>1.01225776</v>
      </c>
    </row>
    <row r="165" spans="1:3">
      <c r="A165" s="531">
        <v>43423</v>
      </c>
      <c r="B165" s="532">
        <v>2.2400000000000003E-2</v>
      </c>
      <c r="C165" s="533">
        <v>1.0124484</v>
      </c>
    </row>
    <row r="166" spans="1:3">
      <c r="A166" s="531">
        <v>43424</v>
      </c>
      <c r="B166" s="532">
        <v>2.2000000000000002E-2</v>
      </c>
      <c r="C166" s="533">
        <v>1.0125114</v>
      </c>
    </row>
    <row r="167" spans="1:3">
      <c r="A167" s="531">
        <v>43425</v>
      </c>
      <c r="B167" s="532">
        <v>2.18E-2</v>
      </c>
      <c r="C167" s="533">
        <v>1.0125732700000001</v>
      </c>
    </row>
    <row r="168" spans="1:3">
      <c r="A168" s="531">
        <v>43427</v>
      </c>
      <c r="B168" s="532">
        <v>2.23E-2</v>
      </c>
      <c r="C168" s="533">
        <v>1.0126959099999999</v>
      </c>
    </row>
    <row r="169" spans="1:3">
      <c r="A169" s="531">
        <v>43430</v>
      </c>
      <c r="B169" s="532">
        <v>2.2000000000000002E-2</v>
      </c>
      <c r="C169" s="533">
        <v>1.0128841</v>
      </c>
    </row>
    <row r="170" spans="1:3">
      <c r="A170" s="531">
        <v>43431</v>
      </c>
      <c r="B170" s="532">
        <v>2.1899999999999999E-2</v>
      </c>
      <c r="C170" s="533">
        <v>1.0129459999999999</v>
      </c>
    </row>
    <row r="171" spans="1:3">
      <c r="A171" s="531">
        <v>43432</v>
      </c>
      <c r="B171" s="532">
        <v>2.1899999999999999E-2</v>
      </c>
      <c r="C171" s="533">
        <v>1.01300762</v>
      </c>
    </row>
    <row r="172" spans="1:3">
      <c r="A172" s="531">
        <v>43433</v>
      </c>
      <c r="B172" s="532">
        <v>2.2400000000000003E-2</v>
      </c>
      <c r="C172" s="533">
        <v>1.01306925</v>
      </c>
    </row>
    <row r="173" spans="1:3">
      <c r="A173" s="531">
        <v>43434</v>
      </c>
      <c r="B173" s="532">
        <v>2.2799999999999997E-2</v>
      </c>
      <c r="C173" s="533">
        <v>1.01313228</v>
      </c>
    </row>
    <row r="174" spans="1:3">
      <c r="A174" s="531">
        <v>43437</v>
      </c>
      <c r="B174" s="532">
        <v>2.23E-2</v>
      </c>
      <c r="C174" s="533">
        <v>1.01332478</v>
      </c>
    </row>
    <row r="175" spans="1:3">
      <c r="A175" s="531">
        <v>43438</v>
      </c>
      <c r="B175" s="532">
        <v>2.2700000000000001E-2</v>
      </c>
      <c r="C175" s="533">
        <v>1.01338755</v>
      </c>
    </row>
    <row r="176" spans="1:3">
      <c r="A176" s="531">
        <v>43440</v>
      </c>
      <c r="B176" s="532">
        <v>2.3399999999999997E-2</v>
      </c>
      <c r="C176" s="533">
        <v>1.01351535</v>
      </c>
    </row>
    <row r="177" spans="1:3">
      <c r="A177" s="531">
        <v>43441</v>
      </c>
      <c r="B177" s="532">
        <v>2.3E-2</v>
      </c>
      <c r="C177" s="533">
        <v>1.0135812200000001</v>
      </c>
    </row>
    <row r="178" spans="1:3">
      <c r="A178" s="531">
        <v>43444</v>
      </c>
      <c r="B178" s="532">
        <v>2.2200000000000001E-2</v>
      </c>
      <c r="C178" s="533">
        <v>1.01377549</v>
      </c>
    </row>
    <row r="179" spans="1:3">
      <c r="A179" s="531">
        <v>43445</v>
      </c>
      <c r="B179" s="532">
        <v>2.1899999999999999E-2</v>
      </c>
      <c r="C179" s="533">
        <v>1.01383801</v>
      </c>
    </row>
    <row r="180" spans="1:3">
      <c r="A180" s="531">
        <v>43446</v>
      </c>
      <c r="B180" s="532">
        <v>2.2000000000000002E-2</v>
      </c>
      <c r="C180" s="533">
        <v>1.01389968</v>
      </c>
    </row>
    <row r="181" spans="1:3">
      <c r="A181" s="531">
        <v>43447</v>
      </c>
      <c r="B181" s="532">
        <v>2.2099999999999998E-2</v>
      </c>
      <c r="C181" s="533">
        <v>1.0139616499999999</v>
      </c>
    </row>
    <row r="182" spans="1:3">
      <c r="A182" s="531">
        <v>43448</v>
      </c>
      <c r="B182" s="532">
        <v>2.2099999999999998E-2</v>
      </c>
      <c r="C182" s="533">
        <v>1.01402389</v>
      </c>
    </row>
    <row r="183" spans="1:3">
      <c r="A183" s="531">
        <v>43451</v>
      </c>
      <c r="B183" s="532">
        <v>2.3099999999999999E-2</v>
      </c>
      <c r="C183" s="533">
        <v>1.0142106399999999</v>
      </c>
    </row>
    <row r="184" spans="1:3">
      <c r="A184" s="531">
        <v>43452</v>
      </c>
      <c r="B184" s="532">
        <v>2.3199999999999998E-2</v>
      </c>
      <c r="C184" s="533">
        <v>1.0142757200000001</v>
      </c>
    </row>
    <row r="185" spans="1:3">
      <c r="A185" s="531">
        <v>43453</v>
      </c>
      <c r="B185" s="532">
        <v>2.3E-2</v>
      </c>
      <c r="C185" s="533">
        <v>1.0143410799999999</v>
      </c>
    </row>
    <row r="186" spans="1:3">
      <c r="A186" s="531">
        <v>43454</v>
      </c>
      <c r="B186" s="532">
        <v>2.41E-2</v>
      </c>
      <c r="C186" s="533">
        <v>1.0144058899999999</v>
      </c>
    </row>
    <row r="187" spans="1:3">
      <c r="A187" s="531">
        <v>43455</v>
      </c>
      <c r="B187" s="532">
        <v>2.4E-2</v>
      </c>
      <c r="C187" s="533">
        <v>1.0144738</v>
      </c>
    </row>
    <row r="188" spans="1:3">
      <c r="A188" s="531">
        <v>43458</v>
      </c>
      <c r="B188" s="532">
        <v>2.41E-2</v>
      </c>
      <c r="C188" s="533">
        <v>1.0146766899999999</v>
      </c>
    </row>
    <row r="189" spans="1:3">
      <c r="A189" s="531">
        <v>43460</v>
      </c>
      <c r="B189" s="532">
        <v>2.4399999999999998E-2</v>
      </c>
      <c r="C189" s="533">
        <v>1.01481255</v>
      </c>
    </row>
    <row r="190" spans="1:3">
      <c r="A190" s="531">
        <v>43461</v>
      </c>
      <c r="B190" s="532">
        <v>2.4399999999999998E-2</v>
      </c>
      <c r="C190" s="533">
        <v>1.0148813299999999</v>
      </c>
    </row>
    <row r="191" spans="1:3">
      <c r="A191" s="531">
        <v>43462</v>
      </c>
      <c r="B191" s="532">
        <v>2.46E-2</v>
      </c>
      <c r="C191" s="533">
        <v>1.01495011</v>
      </c>
    </row>
    <row r="192" spans="1:3">
      <c r="A192" s="531">
        <v>43465</v>
      </c>
      <c r="B192" s="532">
        <v>0.03</v>
      </c>
      <c r="C192" s="533">
        <v>1.01515818</v>
      </c>
    </row>
    <row r="193" spans="1:3">
      <c r="A193" s="531">
        <v>43467</v>
      </c>
      <c r="B193" s="532">
        <v>3.15E-2</v>
      </c>
      <c r="C193" s="533">
        <v>1.0153273700000001</v>
      </c>
    </row>
    <row r="194" spans="1:3">
      <c r="A194" s="531">
        <v>43468</v>
      </c>
      <c r="B194" s="532">
        <v>2.7000000000000003E-2</v>
      </c>
      <c r="C194" s="533">
        <v>1.0154162099999999</v>
      </c>
    </row>
    <row r="195" spans="1:3">
      <c r="A195" s="531">
        <v>43469</v>
      </c>
      <c r="B195" s="532">
        <v>2.4500000000000001E-2</v>
      </c>
      <c r="C195" s="533">
        <v>1.01549237</v>
      </c>
    </row>
    <row r="196" spans="1:3">
      <c r="A196" s="531">
        <v>43472</v>
      </c>
      <c r="B196" s="532">
        <v>2.41E-2</v>
      </c>
      <c r="C196" s="533">
        <v>1.0156997000000001</v>
      </c>
    </row>
    <row r="197" spans="1:3">
      <c r="A197" s="531">
        <v>43473</v>
      </c>
      <c r="B197" s="532">
        <v>2.4199999999999999E-2</v>
      </c>
      <c r="C197" s="533">
        <v>1.0157676899999999</v>
      </c>
    </row>
    <row r="198" spans="1:3">
      <c r="A198" s="531">
        <v>43474</v>
      </c>
      <c r="B198" s="532">
        <v>2.4500000000000001E-2</v>
      </c>
      <c r="C198" s="533">
        <v>1.0158359800000001</v>
      </c>
    </row>
    <row r="199" spans="1:3">
      <c r="A199" s="531">
        <v>43475</v>
      </c>
      <c r="B199" s="532">
        <v>2.4300000000000002E-2</v>
      </c>
      <c r="C199" s="533">
        <v>1.0159051100000001</v>
      </c>
    </row>
    <row r="200" spans="1:3">
      <c r="A200" s="531">
        <v>43476</v>
      </c>
      <c r="B200" s="532">
        <v>2.41E-2</v>
      </c>
      <c r="C200" s="533">
        <v>1.0159736800000001</v>
      </c>
    </row>
    <row r="201" spans="1:3">
      <c r="A201" s="531">
        <v>43479</v>
      </c>
      <c r="B201" s="532">
        <v>2.4E-2</v>
      </c>
      <c r="C201" s="533">
        <v>1.0161777299999999</v>
      </c>
    </row>
    <row r="202" spans="1:3">
      <c r="A202" s="531">
        <v>43480</v>
      </c>
      <c r="B202" s="532">
        <v>2.46E-2</v>
      </c>
      <c r="C202" s="533">
        <v>1.0162454700000001</v>
      </c>
    </row>
    <row r="203" spans="1:3">
      <c r="A203" s="531">
        <v>43481</v>
      </c>
      <c r="B203" s="532">
        <v>2.4300000000000002E-2</v>
      </c>
      <c r="C203" s="533">
        <v>1.01631491</v>
      </c>
    </row>
    <row r="204" spans="1:3">
      <c r="A204" s="531">
        <v>43482</v>
      </c>
      <c r="B204" s="532">
        <v>2.41E-2</v>
      </c>
      <c r="C204" s="533">
        <v>1.01638351</v>
      </c>
    </row>
    <row r="205" spans="1:3">
      <c r="A205" s="531">
        <v>43483</v>
      </c>
      <c r="B205" s="532">
        <v>2.4199999999999999E-2</v>
      </c>
      <c r="C205" s="533">
        <v>1.0164515599999999</v>
      </c>
    </row>
    <row r="206" spans="1:3">
      <c r="A206" s="531">
        <v>43487</v>
      </c>
      <c r="B206" s="532">
        <v>2.41E-2</v>
      </c>
      <c r="C206" s="533">
        <v>1.01672487</v>
      </c>
    </row>
    <row r="207" spans="1:3">
      <c r="A207" s="531">
        <v>43488</v>
      </c>
      <c r="B207" s="532">
        <v>2.4E-2</v>
      </c>
      <c r="C207" s="533">
        <v>1.01679293</v>
      </c>
    </row>
    <row r="208" spans="1:3">
      <c r="A208" s="531">
        <v>43489</v>
      </c>
      <c r="B208" s="532">
        <v>2.41E-2</v>
      </c>
      <c r="C208" s="533">
        <v>1.0168607199999999</v>
      </c>
    </row>
    <row r="209" spans="1:3">
      <c r="A209" s="531">
        <v>43490</v>
      </c>
      <c r="B209" s="532">
        <v>2.4E-2</v>
      </c>
      <c r="C209" s="533">
        <v>1.0169287899999999</v>
      </c>
    </row>
    <row r="210" spans="1:3">
      <c r="A210" s="531">
        <v>43493</v>
      </c>
      <c r="B210" s="532">
        <v>2.3900000000000001E-2</v>
      </c>
      <c r="C210" s="533">
        <v>1.0171321799999999</v>
      </c>
    </row>
    <row r="211" spans="1:3">
      <c r="A211" s="531">
        <v>43494</v>
      </c>
      <c r="B211" s="532">
        <v>2.4E-2</v>
      </c>
      <c r="C211" s="533">
        <v>1.0171996999999999</v>
      </c>
    </row>
    <row r="212" spans="1:3">
      <c r="A212" s="531">
        <v>43495</v>
      </c>
      <c r="B212" s="532">
        <v>2.3900000000000001E-2</v>
      </c>
      <c r="C212" s="533">
        <v>1.0172675200000001</v>
      </c>
    </row>
    <row r="213" spans="1:3">
      <c r="A213" s="531">
        <v>43496</v>
      </c>
      <c r="B213" s="532">
        <v>2.58E-2</v>
      </c>
      <c r="C213" s="533">
        <v>1.01733505</v>
      </c>
    </row>
    <row r="214" spans="1:3">
      <c r="A214" s="531">
        <v>43497</v>
      </c>
      <c r="B214" s="532">
        <v>2.4700000000000003E-2</v>
      </c>
      <c r="C214" s="533">
        <v>1.0174079599999999</v>
      </c>
    </row>
    <row r="215" spans="1:3">
      <c r="A215" s="531">
        <v>43500</v>
      </c>
      <c r="B215" s="532">
        <v>2.4E-2</v>
      </c>
      <c r="C215" s="533">
        <v>1.0176173799999999</v>
      </c>
    </row>
    <row r="216" spans="1:3">
      <c r="A216" s="531">
        <v>43501</v>
      </c>
      <c r="B216" s="532">
        <v>2.4E-2</v>
      </c>
      <c r="C216" s="533">
        <v>1.0176852199999999</v>
      </c>
    </row>
    <row r="217" spans="1:3">
      <c r="A217" s="531">
        <v>43502</v>
      </c>
      <c r="B217" s="532">
        <v>2.3799999999999998E-2</v>
      </c>
      <c r="C217" s="533">
        <v>1.0177530699999999</v>
      </c>
    </row>
    <row r="218" spans="1:3">
      <c r="A218" s="531">
        <v>43503</v>
      </c>
      <c r="B218" s="532">
        <v>2.3799999999999998E-2</v>
      </c>
      <c r="C218" s="533">
        <v>1.01782035</v>
      </c>
    </row>
    <row r="219" spans="1:3">
      <c r="A219" s="531">
        <v>43504</v>
      </c>
      <c r="B219" s="532">
        <v>2.3700000000000002E-2</v>
      </c>
      <c r="C219" s="533">
        <v>1.0178876400000001</v>
      </c>
    </row>
    <row r="220" spans="1:3">
      <c r="A220" s="531">
        <v>43507</v>
      </c>
      <c r="B220" s="532">
        <v>2.4E-2</v>
      </c>
      <c r="C220" s="533">
        <v>1.01808867</v>
      </c>
    </row>
    <row r="221" spans="1:3">
      <c r="A221" s="531">
        <v>43508</v>
      </c>
      <c r="B221" s="532">
        <v>2.3900000000000001E-2</v>
      </c>
      <c r="C221" s="533">
        <v>1.0181565400000001</v>
      </c>
    </row>
    <row r="222" spans="1:3">
      <c r="A222" s="531">
        <v>43509</v>
      </c>
      <c r="B222" s="532">
        <v>2.3799999999999998E-2</v>
      </c>
      <c r="C222" s="533">
        <v>1.0182241400000001</v>
      </c>
    </row>
    <row r="223" spans="1:3">
      <c r="A223" s="531">
        <v>43510</v>
      </c>
      <c r="B223" s="532">
        <v>2.3900000000000001E-2</v>
      </c>
      <c r="C223" s="533">
        <v>1.01829145</v>
      </c>
    </row>
    <row r="224" spans="1:3">
      <c r="A224" s="531">
        <v>43511</v>
      </c>
      <c r="B224" s="532">
        <v>2.4300000000000002E-2</v>
      </c>
      <c r="C224" s="533">
        <v>1.0183590600000001</v>
      </c>
    </row>
    <row r="225" spans="1:3">
      <c r="A225" s="531">
        <v>43515</v>
      </c>
      <c r="B225" s="532">
        <v>2.4E-2</v>
      </c>
      <c r="C225" s="533">
        <v>1.01863401</v>
      </c>
    </row>
    <row r="226" spans="1:3">
      <c r="A226" s="531">
        <v>43516</v>
      </c>
      <c r="B226" s="532">
        <v>2.3900000000000001E-2</v>
      </c>
      <c r="C226" s="533">
        <v>1.01870192</v>
      </c>
    </row>
    <row r="227" spans="1:3">
      <c r="A227" s="531">
        <v>43517</v>
      </c>
      <c r="B227" s="532">
        <v>2.3900000000000001E-2</v>
      </c>
      <c r="C227" s="533">
        <v>1.01876955</v>
      </c>
    </row>
    <row r="228" spans="1:3">
      <c r="A228" s="531">
        <v>43518</v>
      </c>
      <c r="B228" s="532">
        <v>2.4E-2</v>
      </c>
      <c r="C228" s="533">
        <v>1.0188371899999999</v>
      </c>
    </row>
    <row r="229" spans="1:3">
      <c r="A229" s="531">
        <v>43521</v>
      </c>
      <c r="B229" s="532">
        <v>2.3799999999999998E-2</v>
      </c>
      <c r="C229" s="533">
        <v>1.0190409600000001</v>
      </c>
    </row>
    <row r="230" spans="1:3">
      <c r="A230" s="531">
        <v>43522</v>
      </c>
      <c r="B230" s="532">
        <v>2.3799999999999998E-2</v>
      </c>
      <c r="C230" s="533">
        <v>1.0191083299999999</v>
      </c>
    </row>
    <row r="231" spans="1:3">
      <c r="A231" s="531">
        <v>43523</v>
      </c>
      <c r="B231" s="532">
        <v>2.3700000000000002E-2</v>
      </c>
      <c r="C231" s="533">
        <v>1.0191756999999999</v>
      </c>
    </row>
    <row r="232" spans="1:3">
      <c r="A232" s="531">
        <v>43524</v>
      </c>
      <c r="B232" s="532">
        <v>2.58E-2</v>
      </c>
      <c r="C232" s="533">
        <v>1.0192428</v>
      </c>
    </row>
    <row r="233" spans="1:3">
      <c r="A233" s="531">
        <v>43525</v>
      </c>
      <c r="B233" s="532">
        <v>2.3799999999999998E-2</v>
      </c>
      <c r="C233" s="533">
        <v>1.01931584</v>
      </c>
    </row>
    <row r="234" spans="1:3">
      <c r="A234" s="531">
        <v>43528</v>
      </c>
      <c r="B234" s="532">
        <v>2.3799999999999998E-2</v>
      </c>
      <c r="C234" s="533">
        <v>1.0195180100000001</v>
      </c>
    </row>
    <row r="235" spans="1:3">
      <c r="A235" s="531">
        <v>43529</v>
      </c>
      <c r="B235" s="532">
        <v>2.3799999999999998E-2</v>
      </c>
      <c r="C235" s="533">
        <v>1.0195854099999999</v>
      </c>
    </row>
    <row r="236" spans="1:3">
      <c r="A236" s="531">
        <v>43530</v>
      </c>
      <c r="B236" s="532">
        <v>2.3799999999999998E-2</v>
      </c>
      <c r="C236" s="533">
        <v>1.01965281</v>
      </c>
    </row>
    <row r="237" spans="1:3">
      <c r="A237" s="531">
        <v>43531</v>
      </c>
      <c r="B237" s="532">
        <v>2.3799999999999998E-2</v>
      </c>
      <c r="C237" s="533">
        <v>1.01972022</v>
      </c>
    </row>
    <row r="238" spans="1:3">
      <c r="A238" s="531">
        <v>43532</v>
      </c>
      <c r="B238" s="532">
        <v>2.3900000000000001E-2</v>
      </c>
      <c r="C238" s="533">
        <v>1.0197876400000001</v>
      </c>
    </row>
    <row r="239" spans="1:3">
      <c r="A239" s="531">
        <v>43535</v>
      </c>
      <c r="B239" s="532">
        <v>2.3799999999999998E-2</v>
      </c>
      <c r="C239" s="533">
        <v>1.0199907500000001</v>
      </c>
    </row>
    <row r="240" spans="1:3">
      <c r="A240" s="531">
        <v>43536</v>
      </c>
      <c r="B240" s="532">
        <v>2.3900000000000001E-2</v>
      </c>
      <c r="C240" s="533">
        <v>1.0200581799999999</v>
      </c>
    </row>
    <row r="241" spans="1:3">
      <c r="A241" s="531">
        <v>43537</v>
      </c>
      <c r="B241" s="532">
        <v>2.4E-2</v>
      </c>
      <c r="C241" s="533">
        <v>1.0201259</v>
      </c>
    </row>
    <row r="242" spans="1:3">
      <c r="A242" s="531">
        <v>43538</v>
      </c>
      <c r="B242" s="532">
        <v>2.4199999999999999E-2</v>
      </c>
      <c r="C242" s="533">
        <v>1.0201939099999999</v>
      </c>
    </row>
    <row r="243" spans="1:3">
      <c r="A243" s="531">
        <v>43539</v>
      </c>
      <c r="B243" s="532">
        <v>2.46E-2</v>
      </c>
      <c r="C243" s="533">
        <v>1.0202624899999999</v>
      </c>
    </row>
    <row r="244" spans="1:3">
      <c r="A244" s="531">
        <v>43542</v>
      </c>
      <c r="B244" s="532">
        <v>2.41E-2</v>
      </c>
      <c r="C244" s="533">
        <v>1.02047164</v>
      </c>
    </row>
    <row r="245" spans="1:3">
      <c r="A245" s="531">
        <v>43543</v>
      </c>
      <c r="B245" s="532">
        <v>2.4199999999999999E-2</v>
      </c>
      <c r="C245" s="533">
        <v>1.02053996</v>
      </c>
    </row>
    <row r="246" spans="1:3">
      <c r="A246" s="531">
        <v>43544</v>
      </c>
      <c r="B246" s="532">
        <v>2.4700000000000003E-2</v>
      </c>
      <c r="C246" s="533">
        <v>1.0206085600000001</v>
      </c>
    </row>
    <row r="247" spans="1:3">
      <c r="A247" s="531">
        <v>43545</v>
      </c>
      <c r="B247" s="532">
        <v>2.4399999999999998E-2</v>
      </c>
      <c r="C247" s="533">
        <v>1.0206785899999999</v>
      </c>
    </row>
    <row r="248" spans="1:3">
      <c r="A248" s="531">
        <v>43546</v>
      </c>
      <c r="B248" s="532">
        <v>2.4E-2</v>
      </c>
      <c r="C248" s="533">
        <v>1.0207477599999999</v>
      </c>
    </row>
    <row r="249" spans="1:3">
      <c r="A249" s="531">
        <v>43549</v>
      </c>
      <c r="B249" s="532">
        <v>2.4E-2</v>
      </c>
      <c r="C249" s="533">
        <v>1.02095191</v>
      </c>
    </row>
    <row r="250" spans="1:3">
      <c r="A250" s="531">
        <v>43550</v>
      </c>
      <c r="B250" s="532">
        <v>2.4E-2</v>
      </c>
      <c r="C250" s="533">
        <v>1.0210199799999999</v>
      </c>
    </row>
    <row r="251" spans="1:3">
      <c r="A251" s="531">
        <v>43551</v>
      </c>
      <c r="B251" s="532">
        <v>2.4E-2</v>
      </c>
      <c r="C251" s="533">
        <v>1.0210880499999999</v>
      </c>
    </row>
    <row r="252" spans="1:3">
      <c r="A252" s="531">
        <v>43552</v>
      </c>
      <c r="B252" s="532">
        <v>2.4300000000000002E-2</v>
      </c>
      <c r="C252" s="533">
        <v>1.0211561199999999</v>
      </c>
    </row>
    <row r="253" spans="1:3">
      <c r="A253" s="531">
        <v>43553</v>
      </c>
      <c r="B253" s="532">
        <v>2.6499999999999999E-2</v>
      </c>
      <c r="C253" s="533">
        <v>1.02122505</v>
      </c>
    </row>
    <row r="254" spans="1:3">
      <c r="A254" s="531">
        <v>43556</v>
      </c>
      <c r="B254" s="532">
        <v>2.46E-2</v>
      </c>
      <c r="C254" s="533">
        <v>1.0214505700000001</v>
      </c>
    </row>
    <row r="255" spans="1:3">
      <c r="A255" s="531">
        <v>43557</v>
      </c>
      <c r="B255" s="532">
        <v>2.46E-2</v>
      </c>
      <c r="C255" s="533">
        <v>1.02152037</v>
      </c>
    </row>
    <row r="256" spans="1:3">
      <c r="A256" s="531">
        <v>43558</v>
      </c>
      <c r="B256" s="532">
        <v>2.4700000000000003E-2</v>
      </c>
      <c r="C256" s="533">
        <v>1.0215901700000001</v>
      </c>
    </row>
    <row r="257" spans="1:3">
      <c r="A257" s="531">
        <v>43559</v>
      </c>
      <c r="B257" s="532">
        <v>2.46E-2</v>
      </c>
      <c r="C257" s="533">
        <v>1.02166026</v>
      </c>
    </row>
    <row r="258" spans="1:3">
      <c r="A258" s="531">
        <v>43560</v>
      </c>
      <c r="B258" s="532">
        <v>2.46E-2</v>
      </c>
      <c r="C258" s="533">
        <v>1.02173008</v>
      </c>
    </row>
    <row r="259" spans="1:3">
      <c r="A259" s="531">
        <v>43563</v>
      </c>
      <c r="B259" s="532">
        <v>2.46E-2</v>
      </c>
      <c r="C259" s="533">
        <v>1.02193953</v>
      </c>
    </row>
    <row r="260" spans="1:3">
      <c r="A260" s="531">
        <v>43564</v>
      </c>
      <c r="B260" s="532">
        <v>2.4500000000000001E-2</v>
      </c>
      <c r="C260" s="533">
        <v>1.02200936</v>
      </c>
    </row>
    <row r="261" spans="1:3">
      <c r="A261" s="531">
        <v>43565</v>
      </c>
      <c r="B261" s="532">
        <v>2.4500000000000001E-2</v>
      </c>
      <c r="C261" s="533">
        <v>1.02207892</v>
      </c>
    </row>
    <row r="262" spans="1:3">
      <c r="A262" s="531">
        <v>43566</v>
      </c>
      <c r="B262" s="532">
        <v>2.4399999999999998E-2</v>
      </c>
      <c r="C262" s="533">
        <v>1.0221484700000001</v>
      </c>
    </row>
    <row r="263" spans="1:3">
      <c r="A263" s="531">
        <v>43567</v>
      </c>
      <c r="B263" s="532">
        <v>2.4399999999999998E-2</v>
      </c>
      <c r="C263" s="533">
        <v>1.02221775</v>
      </c>
    </row>
    <row r="264" spans="1:3">
      <c r="A264" s="531">
        <v>43570</v>
      </c>
      <c r="B264" s="532">
        <v>2.4700000000000003E-2</v>
      </c>
      <c r="C264" s="533">
        <v>1.0224256</v>
      </c>
    </row>
    <row r="265" spans="1:3">
      <c r="A265" s="531">
        <v>43571</v>
      </c>
      <c r="B265" s="532">
        <v>2.4700000000000003E-2</v>
      </c>
      <c r="C265" s="533">
        <v>1.02249575</v>
      </c>
    </row>
    <row r="266" spans="1:3">
      <c r="A266" s="531">
        <v>43572</v>
      </c>
      <c r="B266" s="532">
        <v>2.5000000000000001E-2</v>
      </c>
      <c r="C266" s="533">
        <v>1.02256591</v>
      </c>
    </row>
    <row r="267" spans="1:3">
      <c r="A267" s="531">
        <v>43573</v>
      </c>
      <c r="B267" s="532">
        <v>2.5000000000000001E-2</v>
      </c>
      <c r="C267" s="533">
        <v>1.0226369200000001</v>
      </c>
    </row>
    <row r="268" spans="1:3">
      <c r="A268" s="531">
        <v>43577</v>
      </c>
      <c r="B268" s="532">
        <v>2.46E-2</v>
      </c>
      <c r="C268" s="533">
        <v>1.02292099</v>
      </c>
    </row>
    <row r="269" spans="1:3">
      <c r="A269" s="531">
        <v>43578</v>
      </c>
      <c r="B269" s="532">
        <v>2.46E-2</v>
      </c>
      <c r="C269" s="533">
        <v>1.02299089</v>
      </c>
    </row>
    <row r="270" spans="1:3">
      <c r="A270" s="531">
        <v>43579</v>
      </c>
      <c r="B270" s="532">
        <v>2.4399999999999998E-2</v>
      </c>
      <c r="C270" s="533">
        <v>1.0230607899999999</v>
      </c>
    </row>
    <row r="271" spans="1:3">
      <c r="A271" s="531">
        <v>43580</v>
      </c>
      <c r="B271" s="532">
        <v>2.4500000000000001E-2</v>
      </c>
      <c r="C271" s="533">
        <v>1.02313013</v>
      </c>
    </row>
    <row r="272" spans="1:3">
      <c r="A272" s="531">
        <v>43581</v>
      </c>
      <c r="B272" s="532">
        <v>2.46E-2</v>
      </c>
      <c r="C272" s="533">
        <v>1.02319976</v>
      </c>
    </row>
    <row r="273" spans="1:3">
      <c r="A273" s="531">
        <v>43584</v>
      </c>
      <c r="B273" s="532">
        <v>2.4799999999999999E-2</v>
      </c>
      <c r="C273" s="533">
        <v>1.02340952</v>
      </c>
    </row>
    <row r="274" spans="1:3">
      <c r="A274" s="531">
        <v>43585</v>
      </c>
      <c r="B274" s="532">
        <v>2.76E-2</v>
      </c>
      <c r="C274" s="533">
        <v>1.02348002</v>
      </c>
    </row>
    <row r="275" spans="1:3">
      <c r="A275" s="531">
        <v>43586</v>
      </c>
      <c r="B275" s="532">
        <v>2.5399999999999999E-2</v>
      </c>
      <c r="C275" s="533">
        <v>1.0235584799999999</v>
      </c>
    </row>
    <row r="276" spans="1:3">
      <c r="A276" s="531">
        <v>43587</v>
      </c>
      <c r="B276" s="532">
        <v>2.5000000000000001E-2</v>
      </c>
      <c r="C276" s="533">
        <v>1.0236307</v>
      </c>
    </row>
    <row r="277" spans="1:3">
      <c r="A277" s="531">
        <v>43588</v>
      </c>
      <c r="B277" s="532">
        <v>2.4300000000000002E-2</v>
      </c>
      <c r="C277" s="533">
        <v>1.0237017900000001</v>
      </c>
    </row>
    <row r="278" spans="1:3">
      <c r="A278" s="531">
        <v>43591</v>
      </c>
      <c r="B278" s="532">
        <v>2.4199999999999999E-2</v>
      </c>
      <c r="C278" s="533">
        <v>1.0239090900000001</v>
      </c>
    </row>
    <row r="279" spans="1:3">
      <c r="A279" s="531">
        <v>43592</v>
      </c>
      <c r="B279" s="532">
        <v>2.4399999999999998E-2</v>
      </c>
      <c r="C279" s="533">
        <v>1.0239779200000001</v>
      </c>
    </row>
    <row r="280" spans="1:3">
      <c r="A280" s="531">
        <v>43593</v>
      </c>
      <c r="B280" s="532">
        <v>2.4300000000000002E-2</v>
      </c>
      <c r="C280" s="533">
        <v>1.02404732</v>
      </c>
    </row>
    <row r="281" spans="1:3">
      <c r="A281" s="531">
        <v>43594</v>
      </c>
      <c r="B281" s="532">
        <v>2.41E-2</v>
      </c>
      <c r="C281" s="533">
        <v>1.02411644</v>
      </c>
    </row>
    <row r="282" spans="1:3">
      <c r="A282" s="531">
        <v>43595</v>
      </c>
      <c r="B282" s="532">
        <v>2.4E-2</v>
      </c>
      <c r="C282" s="533">
        <v>1.0241849999999999</v>
      </c>
    </row>
    <row r="283" spans="1:3">
      <c r="A283" s="531">
        <v>43598</v>
      </c>
      <c r="B283" s="532">
        <v>2.3799999999999998E-2</v>
      </c>
      <c r="C283" s="533">
        <v>1.02438984</v>
      </c>
    </row>
    <row r="284" spans="1:3">
      <c r="A284" s="531">
        <v>43599</v>
      </c>
      <c r="B284" s="532">
        <v>2.3900000000000001E-2</v>
      </c>
      <c r="C284" s="533">
        <v>1.0244575600000001</v>
      </c>
    </row>
    <row r="285" spans="1:3">
      <c r="A285" s="531">
        <v>43600</v>
      </c>
      <c r="B285" s="532">
        <v>2.4799999999999999E-2</v>
      </c>
      <c r="C285" s="533">
        <v>1.0245255799999999</v>
      </c>
    </row>
    <row r="286" spans="1:3">
      <c r="A286" s="531">
        <v>43601</v>
      </c>
      <c r="B286" s="532">
        <v>2.4300000000000002E-2</v>
      </c>
      <c r="C286" s="533">
        <v>1.02459615</v>
      </c>
    </row>
    <row r="287" spans="1:3">
      <c r="A287" s="531">
        <v>43602</v>
      </c>
      <c r="B287" s="532">
        <v>2.4199999999999999E-2</v>
      </c>
      <c r="C287" s="533">
        <v>1.0246653100000001</v>
      </c>
    </row>
    <row r="288" spans="1:3">
      <c r="A288" s="531">
        <v>43605</v>
      </c>
      <c r="B288" s="532">
        <v>2.3900000000000001E-2</v>
      </c>
      <c r="C288" s="533">
        <v>1.0248719500000001</v>
      </c>
    </row>
    <row r="289" spans="1:3">
      <c r="A289" s="531">
        <v>43606</v>
      </c>
      <c r="B289" s="532">
        <v>2.3799999999999998E-2</v>
      </c>
      <c r="C289" s="533">
        <v>1.02493999</v>
      </c>
    </row>
    <row r="290" spans="1:3">
      <c r="A290" s="531">
        <v>43607</v>
      </c>
      <c r="B290" s="532">
        <v>2.3700000000000002E-2</v>
      </c>
      <c r="C290" s="533">
        <v>1.0250077500000001</v>
      </c>
    </row>
    <row r="291" spans="1:3">
      <c r="A291" s="531">
        <v>43608</v>
      </c>
      <c r="B291" s="532">
        <v>2.3700000000000002E-2</v>
      </c>
      <c r="C291" s="533">
        <v>1.0250752299999999</v>
      </c>
    </row>
    <row r="292" spans="1:3">
      <c r="A292" s="531">
        <v>43609</v>
      </c>
      <c r="B292" s="532">
        <v>2.3700000000000002E-2</v>
      </c>
      <c r="C292" s="533">
        <v>1.0251427200000001</v>
      </c>
    </row>
    <row r="293" spans="1:3">
      <c r="A293" s="531">
        <v>43613</v>
      </c>
      <c r="B293" s="532">
        <v>2.41E-2</v>
      </c>
      <c r="C293" s="533">
        <v>1.0254126699999999</v>
      </c>
    </row>
    <row r="294" spans="1:3">
      <c r="A294" s="531">
        <v>43614</v>
      </c>
      <c r="B294" s="532">
        <v>2.4E-2</v>
      </c>
      <c r="C294" s="533">
        <v>1.0254813199999999</v>
      </c>
    </row>
    <row r="295" spans="1:3">
      <c r="A295" s="531">
        <v>43615</v>
      </c>
      <c r="B295" s="532">
        <v>2.4E-2</v>
      </c>
      <c r="C295" s="533">
        <v>1.0255496799999999</v>
      </c>
    </row>
    <row r="296" spans="1:3">
      <c r="A296" s="531">
        <v>43616</v>
      </c>
      <c r="B296" s="532">
        <v>2.4900000000000002E-2</v>
      </c>
      <c r="C296" s="533">
        <v>1.0256180500000001</v>
      </c>
    </row>
    <row r="297" spans="1:3">
      <c r="A297" s="531">
        <v>43619</v>
      </c>
      <c r="B297" s="532">
        <v>2.4E-2</v>
      </c>
      <c r="C297" s="533">
        <v>1.0258308700000001</v>
      </c>
    </row>
    <row r="298" spans="1:3">
      <c r="A298" s="531">
        <v>43620</v>
      </c>
      <c r="B298" s="532">
        <v>2.3900000000000001E-2</v>
      </c>
      <c r="C298" s="533">
        <v>1.0258992600000001</v>
      </c>
    </row>
    <row r="299" spans="1:3">
      <c r="A299" s="531">
        <v>43621</v>
      </c>
      <c r="B299" s="532">
        <v>2.4E-2</v>
      </c>
      <c r="C299" s="533">
        <v>1.02596737</v>
      </c>
    </row>
    <row r="300" spans="1:3">
      <c r="A300" s="531">
        <v>43622</v>
      </c>
      <c r="B300" s="532">
        <v>2.4E-2</v>
      </c>
      <c r="C300" s="533">
        <v>1.0260357600000001</v>
      </c>
    </row>
    <row r="301" spans="1:3">
      <c r="A301" s="531">
        <v>43623</v>
      </c>
      <c r="B301" s="532">
        <v>2.3900000000000001E-2</v>
      </c>
      <c r="C301" s="533">
        <v>1.02610417</v>
      </c>
    </row>
    <row r="302" spans="1:3">
      <c r="A302" s="531">
        <v>43626</v>
      </c>
      <c r="B302" s="532">
        <v>2.3900000000000001E-2</v>
      </c>
      <c r="C302" s="533">
        <v>1.0263085300000001</v>
      </c>
    </row>
    <row r="303" spans="1:3">
      <c r="A303" s="531">
        <v>43627</v>
      </c>
      <c r="B303" s="532">
        <v>2.3799999999999998E-2</v>
      </c>
      <c r="C303" s="533">
        <v>1.0263766700000001</v>
      </c>
    </row>
    <row r="304" spans="1:3">
      <c r="A304" s="531">
        <v>43628</v>
      </c>
      <c r="B304" s="532">
        <v>2.3700000000000002E-2</v>
      </c>
      <c r="C304" s="533">
        <v>1.0264445200000001</v>
      </c>
    </row>
    <row r="305" spans="1:3">
      <c r="A305" s="531">
        <v>43629</v>
      </c>
      <c r="B305" s="532">
        <v>2.35E-2</v>
      </c>
      <c r="C305" s="533">
        <v>1.0265120999999999</v>
      </c>
    </row>
    <row r="306" spans="1:3">
      <c r="A306" s="531">
        <v>43630</v>
      </c>
      <c r="B306" s="532">
        <v>2.35E-2</v>
      </c>
      <c r="C306" s="533">
        <v>1.0265791099999999</v>
      </c>
    </row>
    <row r="307" spans="1:3">
      <c r="A307" s="531">
        <v>43633</v>
      </c>
      <c r="B307" s="532">
        <v>2.41E-2</v>
      </c>
      <c r="C307" s="533">
        <v>1.0267801400000001</v>
      </c>
    </row>
    <row r="308" spans="1:3">
      <c r="A308" s="531">
        <v>43634</v>
      </c>
      <c r="B308" s="532">
        <v>2.3900000000000001E-2</v>
      </c>
      <c r="C308" s="533">
        <v>1.02684888</v>
      </c>
    </row>
    <row r="309" spans="1:3">
      <c r="A309" s="531">
        <v>43635</v>
      </c>
      <c r="B309" s="532">
        <v>2.3599999999999999E-2</v>
      </c>
      <c r="C309" s="533">
        <v>1.02691705</v>
      </c>
    </row>
    <row r="310" spans="1:3">
      <c r="A310" s="531">
        <v>43636</v>
      </c>
      <c r="B310" s="532">
        <v>2.3599999999999999E-2</v>
      </c>
      <c r="C310" s="533">
        <v>1.0269843700000001</v>
      </c>
    </row>
    <row r="311" spans="1:3">
      <c r="A311" s="531">
        <v>43637</v>
      </c>
      <c r="B311" s="532">
        <v>2.3700000000000002E-2</v>
      </c>
      <c r="C311" s="533">
        <v>1.0270516999999999</v>
      </c>
    </row>
    <row r="312" spans="1:3">
      <c r="A312" s="531">
        <v>43640</v>
      </c>
      <c r="B312" s="532">
        <v>2.3900000000000001E-2</v>
      </c>
      <c r="C312" s="533">
        <v>1.0272545399999999</v>
      </c>
    </row>
    <row r="313" spans="1:3">
      <c r="A313" s="531">
        <v>43641</v>
      </c>
      <c r="B313" s="532">
        <v>2.41E-2</v>
      </c>
      <c r="C313" s="533">
        <v>1.02732274</v>
      </c>
    </row>
    <row r="314" spans="1:3">
      <c r="A314" s="531">
        <v>43642</v>
      </c>
      <c r="B314" s="532">
        <v>2.4300000000000002E-2</v>
      </c>
      <c r="C314" s="533">
        <v>1.02739151</v>
      </c>
    </row>
    <row r="315" spans="1:3">
      <c r="A315" s="531">
        <v>43643</v>
      </c>
      <c r="B315" s="532">
        <v>2.4199999999999999E-2</v>
      </c>
      <c r="C315" s="533">
        <v>1.0274608599999999</v>
      </c>
    </row>
    <row r="316" spans="1:3">
      <c r="A316" s="531">
        <v>43644</v>
      </c>
      <c r="B316" s="532">
        <v>2.5000000000000001E-2</v>
      </c>
      <c r="C316" s="533">
        <v>1.02752993</v>
      </c>
    </row>
    <row r="317" spans="1:3">
      <c r="A317" s="531">
        <v>43647</v>
      </c>
      <c r="B317" s="532">
        <v>2.4199999999999999E-2</v>
      </c>
      <c r="C317" s="533">
        <v>1.027744</v>
      </c>
    </row>
    <row r="318" spans="1:3">
      <c r="A318" s="531">
        <v>43648</v>
      </c>
      <c r="B318" s="532">
        <v>2.5099999999999997E-2</v>
      </c>
      <c r="C318" s="533">
        <v>1.02781308</v>
      </c>
    </row>
    <row r="319" spans="1:3">
      <c r="A319" s="531">
        <v>43649</v>
      </c>
      <c r="B319" s="532">
        <v>2.5600000000000001E-2</v>
      </c>
      <c r="C319" s="533">
        <v>1.0278847499999999</v>
      </c>
    </row>
    <row r="320" spans="1:3">
      <c r="A320" s="531">
        <v>43651</v>
      </c>
      <c r="B320" s="532">
        <v>2.5899999999999999E-2</v>
      </c>
      <c r="C320" s="533">
        <v>1.0280309299999999</v>
      </c>
    </row>
    <row r="321" spans="1:3">
      <c r="A321" s="531">
        <v>43654</v>
      </c>
      <c r="B321" s="532">
        <v>2.4799999999999999E-2</v>
      </c>
      <c r="C321" s="533">
        <v>1.0282528200000001</v>
      </c>
    </row>
    <row r="322" spans="1:3">
      <c r="A322" s="531">
        <v>43655</v>
      </c>
      <c r="B322" s="532">
        <v>2.4500000000000001E-2</v>
      </c>
      <c r="C322" s="533">
        <v>1.0283236499999999</v>
      </c>
    </row>
    <row r="323" spans="1:3">
      <c r="A323" s="531">
        <v>43656</v>
      </c>
      <c r="B323" s="532">
        <v>2.46E-2</v>
      </c>
      <c r="C323" s="533">
        <v>1.02839364</v>
      </c>
    </row>
    <row r="324" spans="1:3">
      <c r="A324" s="531">
        <v>43657</v>
      </c>
      <c r="B324" s="532">
        <v>2.41E-2</v>
      </c>
      <c r="C324" s="533">
        <v>1.0284639099999999</v>
      </c>
    </row>
    <row r="325" spans="1:3">
      <c r="A325" s="531">
        <v>43658</v>
      </c>
      <c r="B325" s="532">
        <v>2.3599999999999999E-2</v>
      </c>
      <c r="C325" s="533">
        <v>1.02853276</v>
      </c>
    </row>
    <row r="326" spans="1:3">
      <c r="A326" s="531">
        <v>43661</v>
      </c>
      <c r="B326" s="532">
        <v>2.46E-2</v>
      </c>
      <c r="C326" s="533">
        <v>1.0287350399999999</v>
      </c>
    </row>
    <row r="327" spans="1:3">
      <c r="A327" s="531">
        <v>43662</v>
      </c>
      <c r="B327" s="532">
        <v>2.4700000000000003E-2</v>
      </c>
      <c r="C327" s="533">
        <v>1.02880533</v>
      </c>
    </row>
    <row r="328" spans="1:3">
      <c r="A328" s="531">
        <v>43663</v>
      </c>
      <c r="B328" s="532">
        <v>2.4700000000000003E-2</v>
      </c>
      <c r="C328" s="533">
        <v>1.0288759199999999</v>
      </c>
    </row>
    <row r="329" spans="1:3">
      <c r="A329" s="531">
        <v>43664</v>
      </c>
      <c r="B329" s="532">
        <v>2.46E-2</v>
      </c>
      <c r="C329" s="533">
        <v>1.0289465099999999</v>
      </c>
    </row>
    <row r="330" spans="1:3">
      <c r="A330" s="531">
        <v>43665</v>
      </c>
      <c r="B330" s="532">
        <v>2.41E-2</v>
      </c>
      <c r="C330" s="533">
        <v>1.02901683</v>
      </c>
    </row>
    <row r="331" spans="1:3">
      <c r="A331" s="531">
        <v>43668</v>
      </c>
      <c r="B331" s="532">
        <v>2.4E-2</v>
      </c>
      <c r="C331" s="533">
        <v>1.0292234899999999</v>
      </c>
    </row>
    <row r="332" spans="1:3">
      <c r="A332" s="531">
        <v>43669</v>
      </c>
      <c r="B332" s="532">
        <v>2.4E-2</v>
      </c>
      <c r="C332" s="533">
        <v>1.0292920999999999</v>
      </c>
    </row>
    <row r="333" spans="1:3">
      <c r="A333" s="531">
        <v>43670</v>
      </c>
      <c r="B333" s="532">
        <v>2.41E-2</v>
      </c>
      <c r="C333" s="533">
        <v>1.0293607199999999</v>
      </c>
    </row>
    <row r="334" spans="1:3">
      <c r="A334" s="531">
        <v>43671</v>
      </c>
      <c r="B334" s="532">
        <v>2.4199999999999999E-2</v>
      </c>
      <c r="C334" s="533">
        <v>1.0294296300000001</v>
      </c>
    </row>
    <row r="335" spans="1:3">
      <c r="A335" s="531">
        <v>43672</v>
      </c>
      <c r="B335" s="532">
        <v>2.41E-2</v>
      </c>
      <c r="C335" s="533">
        <v>1.0294988300000001</v>
      </c>
    </row>
    <row r="336" spans="1:3">
      <c r="A336" s="531">
        <v>43675</v>
      </c>
      <c r="B336" s="532">
        <v>2.4E-2</v>
      </c>
      <c r="C336" s="533">
        <v>1.0297055900000001</v>
      </c>
    </row>
    <row r="337" spans="1:3">
      <c r="A337" s="531">
        <v>43676</v>
      </c>
      <c r="B337" s="532">
        <v>2.3900000000000001E-2</v>
      </c>
      <c r="C337" s="533">
        <v>1.0297742400000001</v>
      </c>
    </row>
    <row r="338" spans="1:3">
      <c r="A338" s="531">
        <v>43677</v>
      </c>
      <c r="B338" s="532">
        <v>2.5499999999999998E-2</v>
      </c>
      <c r="C338" s="533">
        <v>1.0298426000000001</v>
      </c>
    </row>
    <row r="339" spans="1:3">
      <c r="A339" s="531">
        <v>43678</v>
      </c>
      <c r="B339" s="532">
        <v>2.1899999999999999E-2</v>
      </c>
      <c r="C339" s="533">
        <v>1.0299155499999999</v>
      </c>
    </row>
    <row r="340" spans="1:3">
      <c r="A340" s="531">
        <v>43679</v>
      </c>
      <c r="B340" s="532">
        <v>2.1899999999999999E-2</v>
      </c>
      <c r="C340" s="533">
        <v>1.0299782</v>
      </c>
    </row>
    <row r="341" spans="1:3">
      <c r="A341" s="531">
        <v>43682</v>
      </c>
      <c r="B341" s="532">
        <v>2.1299999999999999E-2</v>
      </c>
      <c r="C341" s="533">
        <v>1.03016617</v>
      </c>
    </row>
    <row r="342" spans="1:3">
      <c r="A342" s="531">
        <v>43682</v>
      </c>
      <c r="B342" s="532">
        <v>2.1299999999999999E-2</v>
      </c>
      <c r="C342" s="533">
        <v>1.03016617</v>
      </c>
    </row>
    <row r="343" spans="1:3">
      <c r="A343" s="531">
        <v>43683</v>
      </c>
      <c r="B343" s="532">
        <v>2.1099999999999997E-2</v>
      </c>
      <c r="C343" s="533">
        <v>1.0302271199999999</v>
      </c>
    </row>
    <row r="344" spans="1:3">
      <c r="A344" s="531">
        <v>43684</v>
      </c>
      <c r="B344" s="532">
        <v>2.1000000000000001E-2</v>
      </c>
      <c r="C344" s="533">
        <v>1.03028751</v>
      </c>
    </row>
    <row r="345" spans="1:3">
      <c r="A345" s="531">
        <v>43685</v>
      </c>
      <c r="B345" s="532">
        <v>2.0899999999999998E-2</v>
      </c>
      <c r="C345" s="533">
        <v>1.03034761</v>
      </c>
    </row>
    <row r="346" spans="1:3">
      <c r="A346" s="531">
        <v>43686</v>
      </c>
      <c r="B346" s="532">
        <v>2.1099999999999997E-2</v>
      </c>
      <c r="C346" s="533">
        <v>1.03040742</v>
      </c>
    </row>
    <row r="347" spans="1:3">
      <c r="A347" s="531">
        <v>43689</v>
      </c>
      <c r="B347" s="532">
        <v>2.12E-2</v>
      </c>
      <c r="C347" s="533">
        <v>1.0305886</v>
      </c>
    </row>
    <row r="348" spans="1:3">
      <c r="A348" s="531">
        <v>43690</v>
      </c>
      <c r="B348" s="532">
        <v>2.1600000000000001E-2</v>
      </c>
      <c r="C348" s="533">
        <v>1.0306493000000001</v>
      </c>
    </row>
    <row r="349" spans="1:3">
      <c r="A349" s="531">
        <v>43691</v>
      </c>
      <c r="B349" s="532">
        <v>2.1299999999999999E-2</v>
      </c>
      <c r="C349" s="533">
        <v>1.03071113</v>
      </c>
    </row>
    <row r="350" spans="1:3">
      <c r="A350" s="531">
        <v>43692</v>
      </c>
      <c r="B350" s="532">
        <v>2.18E-2</v>
      </c>
      <c r="C350" s="533">
        <v>1.03077212</v>
      </c>
    </row>
    <row r="351" spans="1:3">
      <c r="A351" s="531">
        <v>43693</v>
      </c>
      <c r="B351" s="532">
        <v>2.1299999999999999E-2</v>
      </c>
      <c r="C351" s="533">
        <v>1.0308345400000001</v>
      </c>
    </row>
    <row r="352" spans="1:3">
      <c r="A352" s="531">
        <v>43696</v>
      </c>
      <c r="B352" s="532">
        <v>2.1099999999999997E-2</v>
      </c>
      <c r="C352" s="533">
        <v>1.0310175100000001</v>
      </c>
    </row>
    <row r="353" spans="1:3">
      <c r="A353" s="531">
        <v>43697</v>
      </c>
      <c r="B353" s="532">
        <v>2.1299999999999999E-2</v>
      </c>
      <c r="C353" s="533">
        <v>1.0310779400000001</v>
      </c>
    </row>
    <row r="354" spans="1:3">
      <c r="A354" s="531">
        <v>43697</v>
      </c>
      <c r="B354" s="532">
        <v>2.1299999999999999E-2</v>
      </c>
      <c r="C354" s="533">
        <v>1.0310779400000001</v>
      </c>
    </row>
    <row r="355" spans="1:3">
      <c r="A355" s="531">
        <v>43698</v>
      </c>
      <c r="B355" s="532">
        <v>2.1000000000000001E-2</v>
      </c>
      <c r="C355" s="533">
        <v>1.0311389399999999</v>
      </c>
    </row>
    <row r="356" spans="1:3">
      <c r="A356" s="531">
        <v>43699</v>
      </c>
      <c r="B356" s="532">
        <v>2.0899999999999998E-2</v>
      </c>
      <c r="C356" s="533">
        <v>1.0311990900000001</v>
      </c>
    </row>
    <row r="357" spans="1:3">
      <c r="A357" s="531">
        <v>43700</v>
      </c>
      <c r="B357" s="532">
        <v>2.1000000000000001E-2</v>
      </c>
      <c r="C357" s="533">
        <v>1.0312589599999999</v>
      </c>
    </row>
    <row r="358" spans="1:3">
      <c r="A358" s="531">
        <v>43703</v>
      </c>
      <c r="B358" s="532">
        <v>2.1000000000000001E-2</v>
      </c>
      <c r="C358" s="533">
        <v>1.03143943</v>
      </c>
    </row>
    <row r="359" spans="1:3">
      <c r="A359" s="531">
        <v>43704</v>
      </c>
      <c r="B359" s="532">
        <v>2.1499999999999998E-2</v>
      </c>
      <c r="C359" s="533">
        <v>1.0314996000000001</v>
      </c>
    </row>
    <row r="360" spans="1:3">
      <c r="A360" s="531">
        <v>43705</v>
      </c>
      <c r="B360" s="532">
        <v>2.12E-2</v>
      </c>
      <c r="C360" s="533">
        <v>1.0315612000000001</v>
      </c>
    </row>
    <row r="361" spans="1:3">
      <c r="A361" s="531">
        <v>43706</v>
      </c>
      <c r="B361" s="532">
        <v>2.12E-2</v>
      </c>
      <c r="C361" s="533">
        <v>1.0316219499999999</v>
      </c>
    </row>
    <row r="362" spans="1:3">
      <c r="A362" s="531">
        <v>43707</v>
      </c>
      <c r="B362" s="532">
        <v>2.1600000000000001E-2</v>
      </c>
      <c r="C362" s="533">
        <v>1.0316827</v>
      </c>
    </row>
    <row r="363" spans="1:3">
      <c r="A363" s="531">
        <v>43711</v>
      </c>
      <c r="B363" s="532">
        <v>2.1700000000000001E-2</v>
      </c>
      <c r="C363" s="533">
        <v>1.0319303</v>
      </c>
    </row>
    <row r="364" spans="1:3">
      <c r="A364" s="531">
        <v>43712</v>
      </c>
      <c r="B364" s="532">
        <v>2.2099999999999998E-2</v>
      </c>
      <c r="C364" s="533">
        <v>1.03199251</v>
      </c>
    </row>
    <row r="365" spans="1:3">
      <c r="A365" s="531">
        <v>43713</v>
      </c>
      <c r="B365" s="532">
        <v>2.2099999999999998E-2</v>
      </c>
      <c r="C365" s="533">
        <v>1.03205586</v>
      </c>
    </row>
    <row r="366" spans="1:3">
      <c r="A366" s="531">
        <v>43714</v>
      </c>
      <c r="B366" s="532">
        <v>2.1499999999999998E-2</v>
      </c>
      <c r="C366" s="533">
        <v>1.03211922</v>
      </c>
    </row>
    <row r="367" spans="1:3">
      <c r="A367" s="531">
        <v>43717</v>
      </c>
      <c r="B367" s="532">
        <v>2.12E-2</v>
      </c>
      <c r="C367" s="533">
        <v>1.0323041399999999</v>
      </c>
    </row>
    <row r="368" spans="1:3">
      <c r="A368" s="531">
        <v>43718</v>
      </c>
      <c r="B368" s="532">
        <v>2.1400000000000002E-2</v>
      </c>
      <c r="C368" s="533">
        <v>1.03236493</v>
      </c>
    </row>
    <row r="369" spans="1:3">
      <c r="A369" s="531">
        <v>43719</v>
      </c>
      <c r="B369" s="532">
        <v>2.1499999999999998E-2</v>
      </c>
      <c r="C369" s="533">
        <v>1.0324263</v>
      </c>
    </row>
    <row r="370" spans="1:3">
      <c r="A370" s="531">
        <v>43720</v>
      </c>
      <c r="B370" s="532">
        <v>2.2000000000000002E-2</v>
      </c>
      <c r="C370" s="533">
        <v>1.0324879600000001</v>
      </c>
    </row>
    <row r="371" spans="1:3">
      <c r="A371" s="531">
        <v>43721</v>
      </c>
      <c r="B371" s="532">
        <v>2.2000000000000002E-2</v>
      </c>
      <c r="C371" s="533">
        <v>1.0325510499999999</v>
      </c>
    </row>
    <row r="372" spans="1:3">
      <c r="A372" s="531">
        <v>43724</v>
      </c>
      <c r="B372" s="532">
        <v>2.4300000000000002E-2</v>
      </c>
      <c r="C372" s="533">
        <v>1.0327403500000001</v>
      </c>
    </row>
    <row r="373" spans="1:3">
      <c r="A373" s="531">
        <v>43725</v>
      </c>
      <c r="B373" s="532">
        <v>5.2499999999999998E-2</v>
      </c>
      <c r="C373" s="533">
        <v>1.0328100600000001</v>
      </c>
    </row>
    <row r="374" spans="1:3">
      <c r="A374" s="531">
        <v>43726</v>
      </c>
      <c r="B374" s="532">
        <v>2.5499999999999998E-2</v>
      </c>
      <c r="C374" s="533">
        <v>1.03296068</v>
      </c>
    </row>
    <row r="375" spans="1:3">
      <c r="A375" s="531">
        <v>43727</v>
      </c>
      <c r="B375" s="532">
        <v>1.95E-2</v>
      </c>
      <c r="C375" s="533">
        <v>1.03303385</v>
      </c>
    </row>
    <row r="376" spans="1:3">
      <c r="A376" s="531">
        <v>43728</v>
      </c>
      <c r="B376" s="532">
        <v>1.8600000000000002E-2</v>
      </c>
      <c r="C376" s="533">
        <v>1.0330898100000001</v>
      </c>
    </row>
    <row r="377" spans="1:3">
      <c r="A377" s="531">
        <v>43731</v>
      </c>
      <c r="B377" s="532">
        <v>1.8500000000000003E-2</v>
      </c>
      <c r="C377" s="533">
        <v>1.03324993</v>
      </c>
    </row>
    <row r="378" spans="1:3">
      <c r="A378" s="531">
        <v>43732</v>
      </c>
      <c r="B378" s="532">
        <v>1.9599999999999999E-2</v>
      </c>
      <c r="C378" s="533">
        <v>1.0333030299999999</v>
      </c>
    </row>
    <row r="379" spans="1:3">
      <c r="A379" s="531">
        <v>43733</v>
      </c>
      <c r="B379" s="532">
        <v>2.0099999999999996E-2</v>
      </c>
      <c r="C379" s="533">
        <v>1.0333592899999999</v>
      </c>
    </row>
    <row r="380" spans="1:3">
      <c r="A380" s="531">
        <v>43734</v>
      </c>
      <c r="B380" s="532">
        <v>1.8500000000000003E-2</v>
      </c>
      <c r="C380" s="533">
        <v>1.0334169900000001</v>
      </c>
    </row>
    <row r="381" spans="1:3">
      <c r="A381" s="531">
        <v>43735</v>
      </c>
      <c r="B381" s="532">
        <v>1.8200000000000001E-2</v>
      </c>
      <c r="C381" s="533">
        <v>1.03347009</v>
      </c>
    </row>
    <row r="382" spans="1:3">
      <c r="A382" s="531">
        <v>43738</v>
      </c>
      <c r="B382" s="532">
        <v>2.35E-2</v>
      </c>
      <c r="C382" s="533">
        <v>1.0336268399999999</v>
      </c>
    </row>
    <row r="383" spans="1:3">
      <c r="A383" s="531">
        <v>43739</v>
      </c>
      <c r="B383" s="532">
        <v>1.8799999999999997E-2</v>
      </c>
      <c r="C383" s="533">
        <v>1.03369431</v>
      </c>
    </row>
    <row r="384" spans="1:3">
      <c r="A384" s="531">
        <v>43740</v>
      </c>
      <c r="B384" s="532">
        <v>1.8500000000000003E-2</v>
      </c>
      <c r="C384" s="533">
        <v>1.0337482899999999</v>
      </c>
    </row>
    <row r="385" spans="1:3">
      <c r="A385" s="531">
        <v>43741</v>
      </c>
      <c r="B385" s="532">
        <v>1.84E-2</v>
      </c>
      <c r="C385" s="533">
        <v>1.0338014099999999</v>
      </c>
    </row>
    <row r="386" spans="1:3">
      <c r="A386" s="531">
        <v>43742</v>
      </c>
      <c r="B386" s="532">
        <v>1.8200000000000001E-2</v>
      </c>
      <c r="C386" s="533">
        <v>1.0338542500000001</v>
      </c>
    </row>
    <row r="387" spans="1:3">
      <c r="A387" s="531">
        <v>43745</v>
      </c>
      <c r="B387" s="532">
        <v>1.83E-2</v>
      </c>
      <c r="C387" s="533">
        <v>1.0340110499999999</v>
      </c>
    </row>
    <row r="388" spans="1:3">
      <c r="A388" s="531">
        <v>43746</v>
      </c>
      <c r="B388" s="532">
        <v>1.8500000000000003E-2</v>
      </c>
      <c r="C388" s="533">
        <v>1.03406362</v>
      </c>
    </row>
    <row r="389" spans="1:3">
      <c r="A389" s="531">
        <v>43747</v>
      </c>
      <c r="B389" s="532">
        <v>1.8500000000000003E-2</v>
      </c>
      <c r="C389" s="533">
        <v>1.0341167499999999</v>
      </c>
    </row>
    <row r="390" spans="1:3">
      <c r="A390" s="531">
        <v>43748</v>
      </c>
      <c r="B390" s="532">
        <v>1.8500000000000003E-2</v>
      </c>
      <c r="C390" s="533">
        <v>1.0341699</v>
      </c>
    </row>
    <row r="391" spans="1:3">
      <c r="A391" s="531">
        <v>43749</v>
      </c>
      <c r="B391" s="532">
        <v>1.8500000000000003E-2</v>
      </c>
      <c r="C391" s="533">
        <v>1.0342230400000001</v>
      </c>
    </row>
    <row r="392" spans="1:3">
      <c r="A392" s="531">
        <v>43753</v>
      </c>
      <c r="B392" s="532">
        <v>0.02</v>
      </c>
      <c r="C392" s="533">
        <v>1.0344356299999999</v>
      </c>
    </row>
    <row r="393" spans="1:3">
      <c r="A393" s="531">
        <v>43754</v>
      </c>
      <c r="B393" s="532">
        <v>2.0499999999999997E-2</v>
      </c>
      <c r="C393" s="533">
        <v>1.0344930999999999</v>
      </c>
    </row>
    <row r="394" spans="1:3">
      <c r="A394" s="531">
        <v>43755</v>
      </c>
      <c r="B394" s="532">
        <v>1.95E-2</v>
      </c>
      <c r="C394" s="533">
        <v>1.0345520100000001</v>
      </c>
    </row>
    <row r="395" spans="1:3">
      <c r="A395" s="531">
        <v>43756</v>
      </c>
      <c r="B395" s="532">
        <v>1.8799999999999997E-2</v>
      </c>
      <c r="C395" s="533">
        <v>1.0346080499999999</v>
      </c>
    </row>
    <row r="396" spans="1:3">
      <c r="A396" s="531">
        <v>43759</v>
      </c>
      <c r="B396" s="532">
        <v>1.8600000000000002E-2</v>
      </c>
      <c r="C396" s="533">
        <v>1.03477014</v>
      </c>
    </row>
    <row r="397" spans="1:3">
      <c r="A397" s="531">
        <v>43760</v>
      </c>
      <c r="B397" s="532">
        <v>1.8700000000000001E-2</v>
      </c>
      <c r="C397" s="533">
        <v>1.0348236</v>
      </c>
    </row>
    <row r="398" spans="1:3">
      <c r="A398" s="531">
        <v>43761</v>
      </c>
      <c r="B398" s="532">
        <v>1.8700000000000001E-2</v>
      </c>
      <c r="C398" s="533">
        <v>1.0348773499999999</v>
      </c>
    </row>
    <row r="399" spans="1:3">
      <c r="A399" s="531">
        <v>43762</v>
      </c>
      <c r="B399" s="532">
        <v>1.8600000000000002E-2</v>
      </c>
      <c r="C399" s="533">
        <v>1.03493111</v>
      </c>
    </row>
    <row r="400" spans="1:3">
      <c r="A400" s="531">
        <v>43763</v>
      </c>
      <c r="B400" s="532">
        <v>1.84E-2</v>
      </c>
      <c r="C400" s="533">
        <v>1.0349845799999999</v>
      </c>
    </row>
    <row r="401" spans="1:3">
      <c r="A401" s="531">
        <v>43766</v>
      </c>
      <c r="B401" s="532">
        <v>1.8200000000000001E-2</v>
      </c>
      <c r="C401" s="533">
        <v>1.03514328</v>
      </c>
    </row>
    <row r="402" spans="1:3">
      <c r="A402" s="531">
        <v>43767</v>
      </c>
      <c r="B402" s="532">
        <v>1.8100000000000002E-2</v>
      </c>
      <c r="C402" s="533">
        <v>1.0351956099999999</v>
      </c>
    </row>
    <row r="403" spans="1:3">
      <c r="A403" s="531">
        <v>43768</v>
      </c>
      <c r="B403" s="532">
        <v>1.8200000000000001E-2</v>
      </c>
      <c r="C403" s="533">
        <v>1.03524766</v>
      </c>
    </row>
    <row r="404" spans="1:3">
      <c r="A404" s="531">
        <v>43769</v>
      </c>
      <c r="B404" s="532">
        <v>1.7600000000000001E-2</v>
      </c>
      <c r="C404" s="533">
        <v>1.0352999899999999</v>
      </c>
    </row>
    <row r="405" spans="1:3">
      <c r="A405" s="531">
        <v>43770</v>
      </c>
      <c r="B405" s="532">
        <v>1.5800000000000002E-2</v>
      </c>
      <c r="C405" s="533">
        <v>1.0353506100000001</v>
      </c>
    </row>
    <row r="406" spans="1:3">
      <c r="A406" s="531">
        <v>43773</v>
      </c>
      <c r="B406" s="532">
        <v>1.5600000000000001E-2</v>
      </c>
      <c r="C406" s="533">
        <v>1.03548693</v>
      </c>
    </row>
    <row r="407" spans="1:3">
      <c r="A407" s="531">
        <v>43774</v>
      </c>
      <c r="B407" s="532">
        <v>1.5800000000000002E-2</v>
      </c>
      <c r="C407" s="533">
        <v>1.0355318</v>
      </c>
    </row>
    <row r="408" spans="1:3">
      <c r="A408" s="531">
        <v>43775</v>
      </c>
      <c r="B408" s="532">
        <v>1.5700000000000002E-2</v>
      </c>
      <c r="C408" s="533">
        <v>1.03557725</v>
      </c>
    </row>
    <row r="409" spans="1:3">
      <c r="A409" s="531">
        <v>43776</v>
      </c>
      <c r="B409" s="532">
        <v>1.5600000000000001E-2</v>
      </c>
      <c r="C409" s="533">
        <v>1.03562241</v>
      </c>
    </row>
    <row r="410" spans="1:3">
      <c r="A410" s="531">
        <v>43777</v>
      </c>
      <c r="B410" s="532">
        <v>1.5600000000000001E-2</v>
      </c>
      <c r="C410" s="533">
        <v>1.0356672899999999</v>
      </c>
    </row>
    <row r="411" spans="1:3">
      <c r="A411" s="531">
        <v>43781</v>
      </c>
      <c r="B411" s="532">
        <v>1.5700000000000002E-2</v>
      </c>
      <c r="C411" s="533">
        <v>1.03584681</v>
      </c>
    </row>
    <row r="412" spans="1:3">
      <c r="A412" s="531">
        <v>43782</v>
      </c>
      <c r="B412" s="532">
        <v>1.5700000000000002E-2</v>
      </c>
      <c r="C412" s="533">
        <v>1.0358919799999999</v>
      </c>
    </row>
    <row r="413" spans="1:3">
      <c r="A413" s="531">
        <v>43783</v>
      </c>
      <c r="B413" s="532">
        <v>1.5800000000000002E-2</v>
      </c>
      <c r="C413" s="533">
        <v>1.03593716</v>
      </c>
    </row>
    <row r="414" spans="1:3">
      <c r="A414" s="531">
        <v>43784</v>
      </c>
      <c r="B414" s="532">
        <v>1.5900000000000001E-2</v>
      </c>
      <c r="C414" s="533">
        <v>1.03598262</v>
      </c>
    </row>
    <row r="415" spans="1:3">
      <c r="A415" s="531">
        <v>43787</v>
      </c>
      <c r="B415" s="532">
        <v>1.5600000000000001E-2</v>
      </c>
      <c r="C415" s="533">
        <v>1.0361198899999999</v>
      </c>
    </row>
    <row r="416" spans="1:3">
      <c r="A416" s="531">
        <v>43788</v>
      </c>
      <c r="B416" s="532">
        <v>1.5700000000000002E-2</v>
      </c>
      <c r="C416" s="533">
        <v>1.0361647899999999</v>
      </c>
    </row>
    <row r="417" spans="1:3">
      <c r="A417" s="531">
        <v>43789</v>
      </c>
      <c r="B417" s="532">
        <v>1.5700000000000002E-2</v>
      </c>
      <c r="C417" s="533">
        <v>1.03620998</v>
      </c>
    </row>
    <row r="418" spans="1:3">
      <c r="A418" s="531">
        <v>43790</v>
      </c>
      <c r="B418" s="532">
        <v>1.5800000000000002E-2</v>
      </c>
      <c r="C418" s="533">
        <v>1.03625517</v>
      </c>
    </row>
    <row r="419" spans="1:3">
      <c r="A419" s="531">
        <v>43791</v>
      </c>
      <c r="B419" s="532">
        <v>1.5800000000000002E-2</v>
      </c>
      <c r="C419" s="533">
        <v>1.03630065</v>
      </c>
    </row>
    <row r="420" spans="1:3">
      <c r="A420" s="531">
        <v>43794</v>
      </c>
      <c r="B420" s="532">
        <v>1.5600000000000001E-2</v>
      </c>
      <c r="C420" s="533">
        <v>1.0364370899999999</v>
      </c>
    </row>
    <row r="421" spans="1:3">
      <c r="A421" s="531">
        <v>43795</v>
      </c>
      <c r="B421" s="532">
        <v>1.54E-2</v>
      </c>
      <c r="C421" s="533">
        <v>1.0364820100000001</v>
      </c>
    </row>
    <row r="422" spans="1:3">
      <c r="A422" s="531">
        <v>43796</v>
      </c>
      <c r="B422" s="532">
        <v>1.55E-2</v>
      </c>
      <c r="C422" s="533">
        <v>1.03652634</v>
      </c>
    </row>
    <row r="423" spans="1:3">
      <c r="A423" s="531">
        <v>43798</v>
      </c>
      <c r="B423" s="532">
        <v>1.6500000000000001E-2</v>
      </c>
      <c r="C423" s="533">
        <v>1.0366156</v>
      </c>
    </row>
    <row r="424" spans="1:3">
      <c r="A424" s="531">
        <v>43801</v>
      </c>
      <c r="B424" s="532">
        <v>1.6299999999999999E-2</v>
      </c>
      <c r="C424" s="533">
        <v>1.0367581400000001</v>
      </c>
    </row>
    <row r="425" spans="1:3">
      <c r="A425" s="531">
        <v>43802</v>
      </c>
      <c r="B425" s="532">
        <v>1.55E-2</v>
      </c>
      <c r="C425" s="533">
        <v>1.0368050799999999</v>
      </c>
    </row>
    <row r="426" spans="1:3">
      <c r="A426" s="531">
        <v>43803</v>
      </c>
      <c r="B426" s="532">
        <v>1.54E-2</v>
      </c>
      <c r="C426" s="533">
        <v>1.03684972</v>
      </c>
    </row>
    <row r="427" spans="1:3">
      <c r="A427" s="531">
        <v>43804</v>
      </c>
      <c r="B427" s="532">
        <v>1.55E-2</v>
      </c>
      <c r="C427" s="533">
        <v>1.03689407</v>
      </c>
    </row>
    <row r="428" spans="1:3">
      <c r="A428" s="531">
        <v>43805</v>
      </c>
      <c r="B428" s="532">
        <v>1.55E-2</v>
      </c>
      <c r="C428" s="533">
        <v>1.03693872</v>
      </c>
    </row>
    <row r="429" spans="1:3">
      <c r="A429" s="531">
        <v>43808</v>
      </c>
      <c r="B429" s="532">
        <v>1.5600000000000001E-2</v>
      </c>
      <c r="C429" s="533">
        <v>1.03707265</v>
      </c>
    </row>
    <row r="430" spans="1:3">
      <c r="A430" s="531">
        <v>43809</v>
      </c>
      <c r="B430" s="532">
        <v>1.55E-2</v>
      </c>
      <c r="C430" s="533">
        <v>1.03711759</v>
      </c>
    </row>
    <row r="431" spans="1:3">
      <c r="A431" s="531">
        <v>43810</v>
      </c>
      <c r="B431" s="532">
        <v>1.54E-2</v>
      </c>
      <c r="C431" s="533">
        <v>1.03716225</v>
      </c>
    </row>
    <row r="432" spans="1:3">
      <c r="A432" s="531">
        <v>43811</v>
      </c>
      <c r="B432" s="532">
        <v>1.5300000000000001E-2</v>
      </c>
      <c r="C432" s="533">
        <v>1.0372066099999999</v>
      </c>
    </row>
    <row r="433" spans="1:3">
      <c r="A433" s="531">
        <v>43812</v>
      </c>
      <c r="B433" s="532">
        <v>1.54E-2</v>
      </c>
      <c r="C433" s="533">
        <v>1.0372507</v>
      </c>
    </row>
    <row r="434" spans="1:3">
      <c r="A434" s="531">
        <v>43815</v>
      </c>
      <c r="B434" s="532">
        <v>1.6200000000000003E-2</v>
      </c>
      <c r="C434" s="533">
        <v>1.0373838099999999</v>
      </c>
    </row>
    <row r="435" spans="1:3">
      <c r="A435" s="531">
        <v>43816</v>
      </c>
      <c r="B435" s="532">
        <v>1.54E-2</v>
      </c>
      <c r="C435" s="533">
        <v>1.03743049</v>
      </c>
    </row>
    <row r="436" spans="1:3">
      <c r="A436" s="531">
        <v>43817</v>
      </c>
      <c r="B436" s="532">
        <v>1.5300000000000001E-2</v>
      </c>
      <c r="C436" s="533">
        <v>1.03747487</v>
      </c>
    </row>
    <row r="437" spans="1:3">
      <c r="A437" s="531">
        <v>43818</v>
      </c>
      <c r="B437" s="532">
        <v>1.5300000000000001E-2</v>
      </c>
      <c r="C437" s="533">
        <v>1.0375189600000001</v>
      </c>
    </row>
    <row r="438" spans="1:3">
      <c r="A438" s="531">
        <v>43819</v>
      </c>
      <c r="B438" s="532">
        <v>1.5300000000000001E-2</v>
      </c>
      <c r="C438" s="533">
        <v>1.0375630600000001</v>
      </c>
    </row>
    <row r="439" spans="1:3">
      <c r="A439" s="531">
        <v>43822</v>
      </c>
      <c r="B439" s="532">
        <v>1.52E-2</v>
      </c>
      <c r="C439" s="533">
        <v>1.0376953499999999</v>
      </c>
    </row>
    <row r="440" spans="1:3">
      <c r="A440" s="531">
        <v>43823</v>
      </c>
      <c r="B440" s="532">
        <v>1.52E-2</v>
      </c>
      <c r="C440" s="533">
        <v>1.0377391600000001</v>
      </c>
    </row>
    <row r="441" spans="1:3">
      <c r="A441" s="531">
        <v>43825</v>
      </c>
      <c r="B441" s="532">
        <v>1.52E-2</v>
      </c>
      <c r="C441" s="533">
        <v>1.03782679</v>
      </c>
    </row>
    <row r="442" spans="1:3">
      <c r="A442" s="531">
        <v>43826</v>
      </c>
      <c r="B442" s="532">
        <v>1.5300000000000001E-2</v>
      </c>
      <c r="C442" s="533">
        <v>1.0378706099999999</v>
      </c>
    </row>
    <row r="443" spans="1:3">
      <c r="A443" s="531">
        <v>43829</v>
      </c>
      <c r="B443" s="532">
        <v>1.54E-2</v>
      </c>
      <c r="C443" s="533">
        <v>1.0380029399999999</v>
      </c>
    </row>
    <row r="444" spans="1:3">
      <c r="A444" s="531">
        <v>43830</v>
      </c>
      <c r="B444" s="532">
        <v>1.55E-2</v>
      </c>
      <c r="C444" s="533">
        <v>1.0380473400000001</v>
      </c>
    </row>
    <row r="445" spans="1:3">
      <c r="A445" s="531">
        <v>43832</v>
      </c>
      <c r="B445" s="532">
        <v>1.54E-2</v>
      </c>
      <c r="C445" s="533">
        <v>1.03813673</v>
      </c>
    </row>
    <row r="446" spans="1:3">
      <c r="A446" s="531">
        <v>43833</v>
      </c>
      <c r="B446" s="532">
        <v>1.55E-2</v>
      </c>
      <c r="C446" s="533">
        <v>1.0381811400000001</v>
      </c>
    </row>
    <row r="447" spans="1:3">
      <c r="A447" s="531">
        <v>43836</v>
      </c>
      <c r="B447" s="532">
        <v>1.55E-2</v>
      </c>
      <c r="C447" s="533">
        <v>1.03831524</v>
      </c>
    </row>
    <row r="448" spans="1:3">
      <c r="A448" s="531">
        <v>43837</v>
      </c>
      <c r="B448" s="532">
        <v>1.5600000000000001E-2</v>
      </c>
      <c r="C448" s="533">
        <v>1.0383599400000001</v>
      </c>
    </row>
    <row r="449" spans="1:3">
      <c r="A449" s="531">
        <v>43838</v>
      </c>
      <c r="B449" s="532">
        <v>1.55E-2</v>
      </c>
      <c r="C449" s="533">
        <v>1.0384049399999999</v>
      </c>
    </row>
    <row r="450" spans="1:3">
      <c r="A450" s="531">
        <v>43839</v>
      </c>
      <c r="B450" s="532">
        <v>1.55E-2</v>
      </c>
      <c r="C450" s="533">
        <v>1.03844965</v>
      </c>
    </row>
    <row r="451" spans="1:3">
      <c r="A451" s="531">
        <v>43840</v>
      </c>
      <c r="B451" s="532">
        <v>1.55E-2</v>
      </c>
      <c r="C451" s="533">
        <v>1.0384943600000001</v>
      </c>
    </row>
    <row r="452" spans="1:3">
      <c r="A452" s="531">
        <v>43843</v>
      </c>
      <c r="B452" s="532">
        <v>1.54E-2</v>
      </c>
      <c r="C452" s="533">
        <v>1.0386285</v>
      </c>
    </row>
    <row r="453" spans="1:3">
      <c r="A453" s="531">
        <v>43844</v>
      </c>
      <c r="B453" s="532">
        <v>1.55E-2</v>
      </c>
      <c r="C453" s="533">
        <v>1.0386729299999999</v>
      </c>
    </row>
    <row r="454" spans="1:3">
      <c r="A454" s="531">
        <v>43845</v>
      </c>
      <c r="B454" s="532">
        <v>1.5600000000000001E-2</v>
      </c>
      <c r="C454" s="533">
        <v>1.0387176499999999</v>
      </c>
    </row>
    <row r="455" spans="1:3">
      <c r="A455" s="531">
        <v>43846</v>
      </c>
      <c r="B455" s="532">
        <v>1.55E-2</v>
      </c>
      <c r="C455" s="533">
        <v>1.0387626599999999</v>
      </c>
    </row>
    <row r="456" spans="1:3">
      <c r="A456" s="531">
        <v>43847</v>
      </c>
      <c r="B456" s="532">
        <v>1.54E-2</v>
      </c>
      <c r="C456" s="533">
        <v>1.0388073900000001</v>
      </c>
    </row>
    <row r="457" spans="1:3">
      <c r="A457" s="531">
        <v>43851</v>
      </c>
      <c r="B457" s="532">
        <v>1.54E-2</v>
      </c>
      <c r="C457" s="533">
        <v>1.0389851400000001</v>
      </c>
    </row>
    <row r="458" spans="1:3">
      <c r="A458" s="531">
        <v>43852</v>
      </c>
      <c r="B458" s="532">
        <v>1.54E-2</v>
      </c>
      <c r="C458" s="533">
        <v>1.03902958</v>
      </c>
    </row>
    <row r="459" spans="1:3">
      <c r="A459" s="531">
        <v>43853</v>
      </c>
      <c r="B459" s="532">
        <v>1.54E-2</v>
      </c>
      <c r="C459" s="533">
        <v>1.0390740300000001</v>
      </c>
    </row>
    <row r="460" spans="1:3">
      <c r="A460" s="531">
        <v>43854</v>
      </c>
      <c r="B460" s="532">
        <v>1.5300000000000001E-2</v>
      </c>
      <c r="C460" s="533">
        <v>1.03911848</v>
      </c>
    </row>
    <row r="461" spans="1:3">
      <c r="A461" s="531">
        <v>43857</v>
      </c>
      <c r="B461" s="532">
        <v>1.5300000000000001E-2</v>
      </c>
      <c r="C461" s="533">
        <v>1.0392509700000001</v>
      </c>
    </row>
    <row r="462" spans="1:3">
      <c r="A462" s="531">
        <v>43858</v>
      </c>
      <c r="B462" s="532">
        <v>1.5300000000000001E-2</v>
      </c>
      <c r="C462" s="533">
        <v>1.03929513</v>
      </c>
    </row>
    <row r="463" spans="1:3">
      <c r="A463" s="531">
        <v>43859</v>
      </c>
      <c r="B463" s="532">
        <v>1.5300000000000001E-2</v>
      </c>
      <c r="C463" s="533">
        <v>1.0393393</v>
      </c>
    </row>
    <row r="464" spans="1:3">
      <c r="A464" s="531">
        <v>43860</v>
      </c>
      <c r="B464" s="532">
        <v>1.5800000000000002E-2</v>
      </c>
      <c r="C464" s="533">
        <v>1.0393834799999999</v>
      </c>
    </row>
    <row r="465" spans="1:3">
      <c r="A465" s="531">
        <v>43861</v>
      </c>
      <c r="B465" s="532">
        <v>1.6E-2</v>
      </c>
      <c r="C465" s="533">
        <v>1.0394290900000001</v>
      </c>
    </row>
    <row r="466" spans="1:3">
      <c r="A466" s="531">
        <v>43864</v>
      </c>
      <c r="B466" s="532">
        <v>1.5900000000000001E-2</v>
      </c>
      <c r="C466" s="533">
        <v>1.03956768</v>
      </c>
    </row>
    <row r="467" spans="1:3">
      <c r="A467" s="531">
        <v>43865</v>
      </c>
      <c r="B467" s="532">
        <v>1.6E-2</v>
      </c>
      <c r="C467" s="533">
        <v>1.0396136</v>
      </c>
    </row>
    <row r="468" spans="1:3">
      <c r="A468" s="531">
        <v>43866</v>
      </c>
      <c r="B468" s="532">
        <v>1.5900000000000001E-2</v>
      </c>
      <c r="C468" s="533">
        <v>1.0396597999999999</v>
      </c>
    </row>
    <row r="469" spans="1:3">
      <c r="A469" s="531">
        <v>43867</v>
      </c>
      <c r="B469" s="532">
        <v>1.5900000000000001E-2</v>
      </c>
      <c r="C469" s="533">
        <v>1.0397057199999999</v>
      </c>
    </row>
    <row r="470" spans="1:3">
      <c r="A470" s="531">
        <v>43868</v>
      </c>
      <c r="B470" s="532">
        <v>1.5800000000000002E-2</v>
      </c>
      <c r="C470" s="533">
        <v>1.03975164</v>
      </c>
    </row>
    <row r="471" spans="1:3">
      <c r="A471" s="531">
        <v>43871</v>
      </c>
      <c r="B471" s="532">
        <v>1.5800000000000002E-2</v>
      </c>
      <c r="C471" s="533">
        <v>1.03988854</v>
      </c>
    </row>
    <row r="472" spans="1:3">
      <c r="A472" s="531">
        <v>43872</v>
      </c>
      <c r="B472" s="532">
        <v>1.5800000000000002E-2</v>
      </c>
      <c r="C472" s="533">
        <v>1.0399341799999999</v>
      </c>
    </row>
    <row r="473" spans="1:3">
      <c r="A473" s="531">
        <v>43873</v>
      </c>
      <c r="B473" s="532">
        <v>1.5700000000000002E-2</v>
      </c>
      <c r="C473" s="533">
        <v>1.0399798200000001</v>
      </c>
    </row>
    <row r="474" spans="1:3">
      <c r="A474" s="531">
        <v>43874</v>
      </c>
      <c r="B474" s="532">
        <v>1.5700000000000002E-2</v>
      </c>
      <c r="C474" s="533">
        <v>1.04002518</v>
      </c>
    </row>
    <row r="475" spans="1:3">
      <c r="A475" s="531">
        <v>43875</v>
      </c>
      <c r="B475" s="532">
        <v>1.5800000000000002E-2</v>
      </c>
      <c r="C475" s="533">
        <v>1.0400705400000001</v>
      </c>
    </row>
    <row r="476" spans="1:3">
      <c r="A476" s="531">
        <v>43879</v>
      </c>
      <c r="B476" s="532">
        <v>1.6E-2</v>
      </c>
      <c r="C476" s="533">
        <v>1.04025313</v>
      </c>
    </row>
    <row r="477" spans="1:3">
      <c r="A477" s="531">
        <v>43880</v>
      </c>
      <c r="B477" s="532">
        <v>1.5900000000000001E-2</v>
      </c>
      <c r="C477" s="533">
        <v>1.0402993599999999</v>
      </c>
    </row>
    <row r="478" spans="1:3">
      <c r="A478" s="531">
        <v>43881</v>
      </c>
      <c r="B478" s="532">
        <v>1.6E-2</v>
      </c>
      <c r="C478" s="533">
        <v>1.04034531</v>
      </c>
    </row>
    <row r="479" spans="1:3">
      <c r="A479" s="531">
        <v>43882</v>
      </c>
      <c r="B479" s="532">
        <v>1.5800000000000002E-2</v>
      </c>
      <c r="C479" s="533">
        <v>1.0403915399999999</v>
      </c>
    </row>
    <row r="480" spans="1:3">
      <c r="A480" s="531">
        <v>43885</v>
      </c>
      <c r="B480" s="532">
        <v>1.5800000000000002E-2</v>
      </c>
      <c r="C480" s="533">
        <v>1.04052853</v>
      </c>
    </row>
    <row r="481" spans="1:3">
      <c r="A481" s="531">
        <v>43886</v>
      </c>
      <c r="B481" s="532">
        <v>1.5900000000000001E-2</v>
      </c>
      <c r="C481" s="533">
        <v>1.0405742</v>
      </c>
    </row>
    <row r="482" spans="1:3">
      <c r="A482" s="531">
        <v>43887</v>
      </c>
      <c r="B482" s="532">
        <v>1.5800000000000002E-2</v>
      </c>
      <c r="C482" s="533">
        <v>1.0406201500000001</v>
      </c>
    </row>
    <row r="483" spans="1:3">
      <c r="A483" s="531">
        <v>43888</v>
      </c>
      <c r="B483" s="532">
        <v>1.5800000000000002E-2</v>
      </c>
      <c r="C483" s="533">
        <v>1.04066583</v>
      </c>
    </row>
    <row r="484" spans="1:3">
      <c r="A484" s="531">
        <v>43889</v>
      </c>
      <c r="B484" s="532">
        <v>1.6E-2</v>
      </c>
      <c r="C484" s="533">
        <v>1.0407115</v>
      </c>
    </row>
    <row r="485" spans="1:3">
      <c r="A485" s="531">
        <v>43892</v>
      </c>
      <c r="B485" s="532">
        <v>1.5900000000000001E-2</v>
      </c>
      <c r="C485" s="533">
        <v>1.04085026</v>
      </c>
    </row>
    <row r="486" spans="1:3">
      <c r="A486" s="531">
        <v>43893</v>
      </c>
      <c r="B486" s="532">
        <v>1.6399999999999998E-2</v>
      </c>
      <c r="C486" s="533">
        <v>1.04089623</v>
      </c>
    </row>
    <row r="487" spans="1:3">
      <c r="A487" s="531">
        <v>43894</v>
      </c>
      <c r="B487" s="532">
        <v>1.23E-2</v>
      </c>
      <c r="C487" s="533">
        <v>1.04094365</v>
      </c>
    </row>
    <row r="488" spans="1:3">
      <c r="A488" s="531">
        <v>43895</v>
      </c>
      <c r="B488" s="532">
        <v>1.1200000000000002E-2</v>
      </c>
      <c r="C488" s="533">
        <v>1.0409792200000001</v>
      </c>
    </row>
    <row r="489" spans="1:3">
      <c r="A489" s="531">
        <v>43896</v>
      </c>
      <c r="B489" s="532">
        <v>1.1000000000000001E-2</v>
      </c>
      <c r="C489" s="533">
        <v>1.0410116</v>
      </c>
    </row>
    <row r="490" spans="1:3">
      <c r="A490" s="531">
        <v>43899</v>
      </c>
      <c r="B490" s="532">
        <v>1.09E-2</v>
      </c>
      <c r="C490" s="533">
        <v>1.04110703</v>
      </c>
    </row>
    <row r="491" spans="1:3">
      <c r="A491" s="531">
        <v>43900</v>
      </c>
      <c r="B491" s="532">
        <v>1.11E-2</v>
      </c>
      <c r="C491" s="533">
        <v>1.0411385500000001</v>
      </c>
    </row>
    <row r="492" spans="1:3">
      <c r="A492" s="531">
        <v>43901</v>
      </c>
      <c r="B492" s="532">
        <v>1.15E-2</v>
      </c>
      <c r="C492" s="533">
        <v>1.04117065</v>
      </c>
    </row>
    <row r="493" spans="1:3">
      <c r="A493" s="531">
        <v>43902</v>
      </c>
      <c r="B493" s="532">
        <v>1.2E-2</v>
      </c>
      <c r="C493" s="533">
        <v>1.0412039099999999</v>
      </c>
    </row>
    <row r="494" spans="1:3">
      <c r="A494" s="531">
        <v>43903</v>
      </c>
      <c r="B494" s="532">
        <v>1.1000000000000001E-2</v>
      </c>
      <c r="C494" s="533">
        <v>1.0412386199999999</v>
      </c>
    </row>
    <row r="495" spans="1:3">
      <c r="A495" s="531">
        <v>43906</v>
      </c>
      <c r="B495" s="532">
        <v>2.5999999999999999E-3</v>
      </c>
      <c r="C495" s="533">
        <v>1.04133407</v>
      </c>
    </row>
    <row r="496" spans="1:3">
      <c r="A496" s="531">
        <v>43907</v>
      </c>
      <c r="B496" s="532">
        <v>5.4000000000000003E-3</v>
      </c>
      <c r="C496" s="533">
        <v>1.04134159</v>
      </c>
    </row>
    <row r="497" spans="1:3">
      <c r="A497" s="531">
        <v>43908</v>
      </c>
      <c r="B497" s="532">
        <v>1E-3</v>
      </c>
      <c r="C497" s="533">
        <v>1.0413572099999999</v>
      </c>
    </row>
    <row r="498" spans="1:3">
      <c r="A498" s="531">
        <v>43909</v>
      </c>
      <c r="B498" s="532">
        <v>5.9999999999999995E-4</v>
      </c>
      <c r="C498" s="533">
        <v>1.0413600999999999</v>
      </c>
    </row>
    <row r="499" spans="1:3">
      <c r="A499" s="531">
        <v>43910</v>
      </c>
      <c r="B499" s="532">
        <v>4.0000000000000002E-4</v>
      </c>
      <c r="C499" s="533">
        <v>1.04136184</v>
      </c>
    </row>
    <row r="500" spans="1:3">
      <c r="A500" s="531">
        <v>43913</v>
      </c>
      <c r="B500" s="532">
        <v>2.0000000000000001E-4</v>
      </c>
      <c r="C500" s="533">
        <v>1.04136531</v>
      </c>
    </row>
    <row r="501" spans="1:3">
      <c r="A501" s="531">
        <v>43914</v>
      </c>
      <c r="B501" s="532">
        <v>1E-4</v>
      </c>
      <c r="C501" s="533">
        <v>1.0413658800000001</v>
      </c>
    </row>
    <row r="502" spans="1:3">
      <c r="A502" s="531">
        <v>43915</v>
      </c>
      <c r="B502" s="532">
        <v>1E-4</v>
      </c>
      <c r="C502" s="533">
        <v>1.0413661700000001</v>
      </c>
    </row>
    <row r="503" spans="1:3">
      <c r="A503" s="531">
        <v>43916</v>
      </c>
      <c r="B503" s="532">
        <v>1E-4</v>
      </c>
      <c r="C503" s="533">
        <v>1.0413664600000001</v>
      </c>
    </row>
    <row r="504" spans="1:3">
      <c r="A504" s="531">
        <v>43917</v>
      </c>
      <c r="B504" s="532">
        <v>1E-4</v>
      </c>
      <c r="C504" s="533">
        <v>1.0413667499999999</v>
      </c>
    </row>
    <row r="505" spans="1:3">
      <c r="A505" s="531">
        <v>43920</v>
      </c>
      <c r="B505" s="532">
        <v>1E-4</v>
      </c>
      <c r="C505" s="533">
        <v>1.0413676199999999</v>
      </c>
    </row>
    <row r="506" spans="1:3">
      <c r="A506" s="531">
        <v>43921</v>
      </c>
      <c r="B506" s="532">
        <v>1E-4</v>
      </c>
      <c r="C506" s="533">
        <v>1.04136791</v>
      </c>
    </row>
    <row r="507" spans="1:3">
      <c r="A507" s="531">
        <v>43922</v>
      </c>
      <c r="B507" s="532">
        <v>1E-4</v>
      </c>
      <c r="C507" s="533">
        <v>1.0413682</v>
      </c>
    </row>
    <row r="508" spans="1:3">
      <c r="A508" s="531">
        <v>43923</v>
      </c>
      <c r="B508" s="532">
        <v>1E-4</v>
      </c>
      <c r="C508" s="533">
        <v>1.04136849</v>
      </c>
    </row>
    <row r="509" spans="1:3">
      <c r="A509" s="531">
        <v>43924</v>
      </c>
      <c r="B509" s="532">
        <v>1E-4</v>
      </c>
      <c r="C509" s="533">
        <v>1.04136878</v>
      </c>
    </row>
    <row r="510" spans="1:3">
      <c r="A510" s="531">
        <v>43927</v>
      </c>
      <c r="B510" s="532">
        <v>1E-4</v>
      </c>
      <c r="C510" s="533">
        <v>1.04136965</v>
      </c>
    </row>
    <row r="511" spans="1:3">
      <c r="A511" s="531">
        <v>43928</v>
      </c>
      <c r="B511" s="532">
        <v>1E-4</v>
      </c>
      <c r="C511" s="533">
        <v>1.0413699300000001</v>
      </c>
    </row>
    <row r="512" spans="1:3">
      <c r="A512" s="531">
        <v>43929</v>
      </c>
      <c r="B512" s="532">
        <v>1E-4</v>
      </c>
      <c r="C512" s="533">
        <v>1.0413702199999999</v>
      </c>
    </row>
    <row r="513" spans="1:3">
      <c r="A513" s="531">
        <v>43930</v>
      </c>
      <c r="B513" s="532">
        <v>1E-4</v>
      </c>
      <c r="C513" s="533">
        <v>1.0413705099999999</v>
      </c>
    </row>
    <row r="514" spans="1:3">
      <c r="A514" s="531">
        <v>43934</v>
      </c>
      <c r="B514" s="532">
        <v>2.0000000000000001E-4</v>
      </c>
      <c r="C514" s="533">
        <v>1.04137167</v>
      </c>
    </row>
    <row r="515" spans="1:3">
      <c r="A515" s="531">
        <v>43935</v>
      </c>
      <c r="B515" s="532">
        <v>5.9999999999999995E-4</v>
      </c>
      <c r="C515" s="533">
        <v>1.04137225</v>
      </c>
    </row>
    <row r="516" spans="1:3">
      <c r="A516" s="531">
        <v>43936</v>
      </c>
      <c r="B516" s="532">
        <v>2.9999999999999997E-4</v>
      </c>
      <c r="C516" s="533">
        <v>1.0413739799999999</v>
      </c>
    </row>
    <row r="517" spans="1:3">
      <c r="A517" s="531">
        <v>43937</v>
      </c>
      <c r="B517" s="532">
        <v>2.9999999999999997E-4</v>
      </c>
      <c r="C517" s="533">
        <v>1.04137485</v>
      </c>
    </row>
    <row r="518" spans="1:3">
      <c r="A518" s="531">
        <v>43938</v>
      </c>
      <c r="B518" s="532">
        <v>2.9999999999999997E-4</v>
      </c>
      <c r="C518" s="533">
        <v>1.04137572</v>
      </c>
    </row>
    <row r="519" spans="1:3">
      <c r="A519" s="531">
        <v>43941</v>
      </c>
      <c r="B519" s="532">
        <v>2.0000000000000001E-4</v>
      </c>
      <c r="C519" s="533">
        <v>1.04137832</v>
      </c>
    </row>
    <row r="520" spans="1:3">
      <c r="A520" s="531">
        <v>43942</v>
      </c>
      <c r="B520" s="532">
        <v>1E-4</v>
      </c>
      <c r="C520" s="533">
        <v>1.0413789</v>
      </c>
    </row>
    <row r="521" spans="1:3">
      <c r="A521" s="531">
        <v>43943</v>
      </c>
      <c r="B521" s="532">
        <v>1E-4</v>
      </c>
      <c r="C521" s="533">
        <v>1.04137919</v>
      </c>
    </row>
    <row r="522" spans="1:3">
      <c r="A522" s="531">
        <v>43944</v>
      </c>
      <c r="B522" s="532">
        <v>1E-4</v>
      </c>
      <c r="C522" s="533">
        <v>1.04137948</v>
      </c>
    </row>
    <row r="523" spans="1:3">
      <c r="A523" s="531">
        <v>43945</v>
      </c>
      <c r="B523" s="532">
        <v>2.9999999999999997E-4</v>
      </c>
      <c r="C523" s="533">
        <v>1.04137977</v>
      </c>
    </row>
    <row r="524" spans="1:3">
      <c r="A524" s="531">
        <v>43948</v>
      </c>
      <c r="B524" s="532">
        <v>2.9999999999999997E-4</v>
      </c>
      <c r="C524" s="533">
        <v>1.04138237</v>
      </c>
    </row>
    <row r="525" spans="1:3">
      <c r="A525" s="531">
        <v>43949</v>
      </c>
      <c r="B525" s="532">
        <v>1E-4</v>
      </c>
      <c r="C525" s="533">
        <v>1.04138324</v>
      </c>
    </row>
    <row r="526" spans="1:3">
      <c r="A526" s="531">
        <v>43950</v>
      </c>
      <c r="B526" s="532">
        <v>1E-4</v>
      </c>
      <c r="C526" s="533">
        <v>1.0413835300000001</v>
      </c>
    </row>
    <row r="527" spans="1:3">
      <c r="A527" s="531">
        <v>43951</v>
      </c>
      <c r="B527" s="532">
        <v>4.0000000000000002E-4</v>
      </c>
      <c r="C527" s="533">
        <v>1.0413838200000001</v>
      </c>
    </row>
    <row r="528" spans="1:3">
      <c r="A528" s="531">
        <v>43952</v>
      </c>
      <c r="B528" s="532">
        <v>2.9999999999999997E-4</v>
      </c>
      <c r="C528" s="533">
        <v>1.0413849799999999</v>
      </c>
    </row>
    <row r="529" spans="1:3">
      <c r="A529" s="531">
        <v>43955</v>
      </c>
      <c r="B529" s="532">
        <v>5.0000000000000001E-4</v>
      </c>
      <c r="C529" s="533">
        <v>1.0413875800000001</v>
      </c>
    </row>
    <row r="530" spans="1:3">
      <c r="A530" s="531">
        <v>43956</v>
      </c>
      <c r="B530" s="532">
        <v>5.0000000000000001E-4</v>
      </c>
      <c r="C530" s="533">
        <v>1.0413890299999999</v>
      </c>
    </row>
    <row r="531" spans="1:3">
      <c r="A531" s="531">
        <v>43957</v>
      </c>
      <c r="B531" s="532">
        <v>5.0000000000000001E-4</v>
      </c>
      <c r="C531" s="533">
        <v>1.0413904700000001</v>
      </c>
    </row>
    <row r="532" spans="1:3">
      <c r="A532" s="531">
        <v>43958</v>
      </c>
      <c r="B532" s="532">
        <v>5.0000000000000001E-4</v>
      </c>
      <c r="C532" s="533">
        <v>1.0413919199999999</v>
      </c>
    </row>
    <row r="533" spans="1:3">
      <c r="A533" s="531">
        <v>43959</v>
      </c>
      <c r="B533" s="532">
        <v>5.9999999999999995E-4</v>
      </c>
      <c r="C533" s="533">
        <v>1.04139337</v>
      </c>
    </row>
    <row r="534" spans="1:3">
      <c r="A534" s="531">
        <v>43962</v>
      </c>
      <c r="B534" s="532">
        <v>5.9999999999999995E-4</v>
      </c>
      <c r="C534" s="533">
        <v>1.0413985699999999</v>
      </c>
    </row>
    <row r="535" spans="1:3">
      <c r="A535" s="531">
        <v>43963</v>
      </c>
      <c r="B535" s="532">
        <v>5.9999999999999995E-4</v>
      </c>
      <c r="C535" s="533">
        <v>1.04140031</v>
      </c>
    </row>
    <row r="536" spans="1:3">
      <c r="A536" s="531">
        <v>43964</v>
      </c>
      <c r="B536" s="532">
        <v>4.0000000000000002E-4</v>
      </c>
      <c r="C536" s="533">
        <v>1.0414020399999999</v>
      </c>
    </row>
    <row r="537" spans="1:3">
      <c r="A537" s="531">
        <v>43965</v>
      </c>
      <c r="B537" s="532">
        <v>2.0000000000000001E-4</v>
      </c>
      <c r="C537" s="533">
        <v>1.0414032</v>
      </c>
    </row>
    <row r="538" spans="1:3">
      <c r="A538" s="531">
        <v>43966</v>
      </c>
      <c r="B538" s="532">
        <v>5.0000000000000001E-4</v>
      </c>
      <c r="C538" s="533">
        <v>1.04140378</v>
      </c>
    </row>
    <row r="539" spans="1:3">
      <c r="A539" s="531">
        <v>43969</v>
      </c>
      <c r="B539" s="532">
        <v>4.0000000000000002E-4</v>
      </c>
      <c r="C539" s="533">
        <v>1.04140812</v>
      </c>
    </row>
    <row r="540" spans="1:3">
      <c r="A540" s="531">
        <v>43970</v>
      </c>
      <c r="B540" s="532">
        <v>4.0000000000000002E-4</v>
      </c>
      <c r="C540" s="533">
        <v>1.0414092800000001</v>
      </c>
    </row>
    <row r="541" spans="1:3">
      <c r="A541" s="531">
        <v>43971</v>
      </c>
      <c r="B541" s="532">
        <v>1E-4</v>
      </c>
      <c r="C541" s="533">
        <v>1.04141043</v>
      </c>
    </row>
    <row r="542" spans="1:3">
      <c r="A542" s="531">
        <v>43972</v>
      </c>
      <c r="B542" s="532">
        <v>2.0000000000000001E-4</v>
      </c>
      <c r="C542" s="533">
        <v>1.04141072</v>
      </c>
    </row>
    <row r="543" spans="1:3">
      <c r="A543" s="531">
        <v>43973</v>
      </c>
      <c r="B543" s="532">
        <v>4.0000000000000002E-4</v>
      </c>
      <c r="C543" s="533">
        <v>1.0414113</v>
      </c>
    </row>
    <row r="544" spans="1:3">
      <c r="A544" s="531">
        <v>43977</v>
      </c>
      <c r="B544" s="532">
        <v>5.9999999999999995E-4</v>
      </c>
      <c r="C544" s="533">
        <v>1.0414159300000001</v>
      </c>
    </row>
    <row r="545" spans="1:3">
      <c r="A545" s="531">
        <v>43978</v>
      </c>
      <c r="B545" s="532">
        <v>5.9999999999999995E-4</v>
      </c>
      <c r="C545" s="533">
        <v>1.04141767</v>
      </c>
    </row>
    <row r="546" spans="1:3">
      <c r="A546" s="531">
        <v>43979</v>
      </c>
      <c r="B546" s="532">
        <v>5.9999999999999995E-4</v>
      </c>
      <c r="C546" s="533">
        <v>1.0414194000000001</v>
      </c>
    </row>
    <row r="547" spans="1:3">
      <c r="A547" s="531">
        <v>43980</v>
      </c>
      <c r="B547" s="532">
        <v>5.9999999999999995E-4</v>
      </c>
      <c r="C547" s="533">
        <v>1.04142114</v>
      </c>
    </row>
    <row r="548" spans="1:3">
      <c r="A548" s="531">
        <v>43983</v>
      </c>
      <c r="B548" s="532">
        <v>5.9999999999999995E-4</v>
      </c>
      <c r="C548" s="533">
        <v>1.0414263399999999</v>
      </c>
    </row>
    <row r="549" spans="1:3">
      <c r="A549" s="531">
        <v>43984</v>
      </c>
      <c r="B549" s="532">
        <v>7.000000000000001E-4</v>
      </c>
      <c r="C549" s="533">
        <v>1.04142808</v>
      </c>
    </row>
    <row r="550" spans="1:3">
      <c r="A550" s="531">
        <v>43985</v>
      </c>
      <c r="B550" s="532">
        <v>5.9999999999999995E-4</v>
      </c>
      <c r="C550" s="533">
        <v>1.0414300999999999</v>
      </c>
    </row>
    <row r="551" spans="1:3">
      <c r="A551" s="531">
        <v>43986</v>
      </c>
      <c r="B551" s="532">
        <v>7.000000000000001E-4</v>
      </c>
      <c r="C551" s="533">
        <v>1.04143184</v>
      </c>
    </row>
    <row r="552" spans="1:3">
      <c r="A552" s="531">
        <v>43987</v>
      </c>
      <c r="B552" s="532">
        <v>7.000000000000001E-4</v>
      </c>
      <c r="C552" s="533">
        <v>1.0414338599999999</v>
      </c>
    </row>
    <row r="553" spans="1:3">
      <c r="A553" s="531">
        <v>43990</v>
      </c>
      <c r="B553" s="532">
        <v>7.000000000000001E-4</v>
      </c>
      <c r="C553" s="533">
        <v>1.0414399400000001</v>
      </c>
    </row>
    <row r="554" spans="1:3">
      <c r="A554" s="531">
        <v>43991</v>
      </c>
      <c r="B554" s="532">
        <v>8.0000000000000004E-4</v>
      </c>
      <c r="C554" s="533">
        <v>1.04144196</v>
      </c>
    </row>
    <row r="555" spans="1:3">
      <c r="A555" s="531">
        <v>43992</v>
      </c>
      <c r="B555" s="532">
        <v>7.000000000000001E-4</v>
      </c>
      <c r="C555" s="533">
        <v>1.0414442799999999</v>
      </c>
    </row>
    <row r="556" spans="1:3">
      <c r="A556" s="531">
        <v>43993</v>
      </c>
      <c r="B556" s="532">
        <v>8.0000000000000004E-4</v>
      </c>
      <c r="C556" s="533">
        <v>1.0414463</v>
      </c>
    </row>
    <row r="557" spans="1:3">
      <c r="A557" s="531">
        <v>43994</v>
      </c>
      <c r="B557" s="532">
        <v>8.0000000000000004E-4</v>
      </c>
      <c r="C557" s="533">
        <v>1.0414486199999999</v>
      </c>
    </row>
    <row r="558" spans="1:3">
      <c r="A558" s="531">
        <v>43997</v>
      </c>
      <c r="B558" s="532">
        <v>8.9999999999999998E-4</v>
      </c>
      <c r="C558" s="533">
        <v>1.0414555599999999</v>
      </c>
    </row>
    <row r="559" spans="1:3">
      <c r="A559" s="531">
        <v>43998</v>
      </c>
      <c r="B559" s="532">
        <v>8.9999999999999998E-4</v>
      </c>
      <c r="C559" s="533">
        <v>1.0414581700000001</v>
      </c>
    </row>
    <row r="560" spans="1:3">
      <c r="A560" s="531">
        <v>43999</v>
      </c>
      <c r="B560" s="532">
        <v>8.9999999999999998E-4</v>
      </c>
      <c r="C560" s="533">
        <v>1.04146077</v>
      </c>
    </row>
    <row r="561" spans="1:3">
      <c r="A561" s="531">
        <v>44000</v>
      </c>
      <c r="B561" s="532">
        <v>8.9999999999999998E-4</v>
      </c>
      <c r="C561" s="533">
        <v>1.04146337</v>
      </c>
    </row>
    <row r="562" spans="1:3">
      <c r="A562" s="531">
        <v>44001</v>
      </c>
      <c r="B562" s="532">
        <v>8.9999999999999998E-4</v>
      </c>
      <c r="C562" s="533">
        <v>1.0414659799999999</v>
      </c>
    </row>
    <row r="563" spans="1:3">
      <c r="A563" s="531">
        <v>44004</v>
      </c>
      <c r="B563" s="532">
        <v>8.0000000000000004E-4</v>
      </c>
      <c r="C563" s="533">
        <v>1.04147379</v>
      </c>
    </row>
    <row r="564" spans="1:3">
      <c r="A564" s="531">
        <v>44005</v>
      </c>
      <c r="B564" s="532">
        <v>7.000000000000001E-4</v>
      </c>
      <c r="C564" s="533">
        <v>1.0414760999999999</v>
      </c>
    </row>
    <row r="565" spans="1:3">
      <c r="A565" s="531">
        <v>44006</v>
      </c>
      <c r="B565" s="532">
        <v>8.0000000000000004E-4</v>
      </c>
      <c r="C565" s="533">
        <v>1.04147813</v>
      </c>
    </row>
    <row r="566" spans="1:3">
      <c r="A566" s="531">
        <v>44007</v>
      </c>
      <c r="B566" s="532">
        <v>8.9999999999999998E-4</v>
      </c>
      <c r="C566" s="533">
        <v>1.04148044</v>
      </c>
    </row>
    <row r="567" spans="1:3">
      <c r="A567" s="531">
        <v>44008</v>
      </c>
      <c r="B567" s="532">
        <v>8.0000000000000004E-4</v>
      </c>
      <c r="C567" s="533">
        <v>1.0414830399999999</v>
      </c>
    </row>
    <row r="568" spans="1:3">
      <c r="A568" s="531">
        <v>44011</v>
      </c>
      <c r="B568" s="532">
        <v>8.0000000000000004E-4</v>
      </c>
      <c r="C568" s="533">
        <v>1.0414899900000001</v>
      </c>
    </row>
    <row r="569" spans="1:3">
      <c r="A569" s="531">
        <v>44012</v>
      </c>
      <c r="B569" s="532">
        <v>1E-3</v>
      </c>
      <c r="C569" s="533">
        <v>1.0414923</v>
      </c>
    </row>
    <row r="570" spans="1:3">
      <c r="A570" s="531">
        <v>44013</v>
      </c>
      <c r="B570" s="532">
        <v>1.1000000000000001E-3</v>
      </c>
      <c r="C570" s="533">
        <v>1.0414952</v>
      </c>
    </row>
    <row r="571" spans="1:3">
      <c r="A571" s="531">
        <v>44014</v>
      </c>
      <c r="B571" s="532">
        <v>1.1000000000000001E-3</v>
      </c>
      <c r="C571" s="533">
        <v>1.0414983799999999</v>
      </c>
    </row>
    <row r="572" spans="1:3">
      <c r="A572" s="531">
        <v>44018</v>
      </c>
      <c r="B572" s="532">
        <v>1E-3</v>
      </c>
      <c r="C572" s="533">
        <v>1.0415111100000001</v>
      </c>
    </row>
    <row r="573" spans="1:3">
      <c r="A573" s="531">
        <v>44019</v>
      </c>
      <c r="B573" s="532">
        <v>1E-3</v>
      </c>
      <c r="C573" s="533">
        <v>1.0415140000000001</v>
      </c>
    </row>
    <row r="574" spans="1:3">
      <c r="A574" s="531">
        <v>44020</v>
      </c>
      <c r="B574" s="532">
        <v>1E-3</v>
      </c>
      <c r="C574" s="533">
        <v>1.04151689</v>
      </c>
    </row>
    <row r="575" spans="1:3">
      <c r="A575" s="531">
        <v>44021</v>
      </c>
      <c r="B575" s="532">
        <v>1E-3</v>
      </c>
      <c r="C575" s="533">
        <v>1.0415197899999999</v>
      </c>
    </row>
    <row r="576" spans="1:3">
      <c r="A576" s="531">
        <v>44022</v>
      </c>
      <c r="B576" s="532">
        <v>1E-3</v>
      </c>
      <c r="C576" s="533">
        <v>1.0415226799999999</v>
      </c>
    </row>
    <row r="577" spans="1:3">
      <c r="A577" s="531">
        <v>44025</v>
      </c>
      <c r="B577" s="532">
        <v>1E-3</v>
      </c>
      <c r="C577" s="533">
        <v>1.04153136</v>
      </c>
    </row>
    <row r="578" spans="1:3">
      <c r="A578" s="531">
        <v>44026</v>
      </c>
      <c r="B578" s="532">
        <v>1.1000000000000001E-3</v>
      </c>
      <c r="C578" s="533">
        <v>1.04153425</v>
      </c>
    </row>
    <row r="579" spans="1:3">
      <c r="A579" s="531">
        <v>44027</v>
      </c>
      <c r="B579" s="532">
        <v>1.2999999999999999E-3</v>
      </c>
      <c r="C579" s="533">
        <v>1.04153743</v>
      </c>
    </row>
    <row r="580" spans="1:3">
      <c r="A580" s="531">
        <v>44028</v>
      </c>
      <c r="B580" s="532">
        <v>1.1999999999999999E-3</v>
      </c>
      <c r="C580" s="533">
        <v>1.0415411999999999</v>
      </c>
    </row>
    <row r="581" spans="1:3">
      <c r="A581" s="531">
        <v>44029</v>
      </c>
      <c r="B581" s="532">
        <v>1.1999999999999999E-3</v>
      </c>
      <c r="C581" s="533">
        <v>1.04154467</v>
      </c>
    </row>
    <row r="582" spans="1:3">
      <c r="A582" s="531">
        <v>44032</v>
      </c>
      <c r="B582" s="532">
        <v>1.1999999999999999E-3</v>
      </c>
      <c r="C582" s="533">
        <v>1.04155508</v>
      </c>
    </row>
    <row r="583" spans="1:3">
      <c r="A583" s="531">
        <v>44033</v>
      </c>
      <c r="B583" s="532">
        <v>1.1000000000000001E-3</v>
      </c>
      <c r="C583" s="533">
        <v>1.04155855</v>
      </c>
    </row>
    <row r="584" spans="1:3">
      <c r="A584" s="531">
        <v>44034</v>
      </c>
      <c r="B584" s="532">
        <v>1E-3</v>
      </c>
      <c r="C584" s="533">
        <v>1.0415617399999999</v>
      </c>
    </row>
    <row r="585" spans="1:3">
      <c r="A585" s="531">
        <v>44035</v>
      </c>
      <c r="B585" s="532">
        <v>1E-3</v>
      </c>
      <c r="C585" s="533">
        <v>1.0415646300000001</v>
      </c>
    </row>
    <row r="586" spans="1:3">
      <c r="A586" s="531">
        <v>44036</v>
      </c>
      <c r="B586" s="532">
        <v>1E-3</v>
      </c>
      <c r="C586" s="533">
        <v>1.0415675200000001</v>
      </c>
    </row>
    <row r="587" spans="1:3">
      <c r="A587" s="531">
        <v>44039</v>
      </c>
      <c r="B587" s="532">
        <v>1E-3</v>
      </c>
      <c r="C587" s="533">
        <v>1.0415762</v>
      </c>
    </row>
    <row r="588" spans="1:3">
      <c r="A588" s="531">
        <v>44040</v>
      </c>
      <c r="B588" s="532">
        <v>1E-3</v>
      </c>
      <c r="C588" s="533">
        <v>1.0415791000000001</v>
      </c>
    </row>
    <row r="589" spans="1:3">
      <c r="A589" s="531">
        <v>44041</v>
      </c>
      <c r="B589" s="532">
        <v>8.9999999999999998E-4</v>
      </c>
      <c r="C589" s="533">
        <v>1.0415819900000001</v>
      </c>
    </row>
    <row r="590" spans="1:3">
      <c r="A590" s="531">
        <v>44042</v>
      </c>
      <c r="B590" s="532">
        <v>1E-3</v>
      </c>
      <c r="C590" s="533">
        <v>1.04158459</v>
      </c>
    </row>
    <row r="591" spans="1:3">
      <c r="A591" s="531">
        <v>44043</v>
      </c>
      <c r="B591" s="532">
        <v>1E-3</v>
      </c>
      <c r="C591" s="533">
        <v>1.0415874899999999</v>
      </c>
    </row>
    <row r="592" spans="1:3">
      <c r="A592" s="531">
        <v>44046</v>
      </c>
      <c r="B592" s="532">
        <v>1E-3</v>
      </c>
      <c r="C592" s="533">
        <v>1.04159617</v>
      </c>
    </row>
    <row r="593" spans="1:3">
      <c r="A593" s="531">
        <v>44047</v>
      </c>
      <c r="B593" s="532">
        <v>8.9999999999999998E-4</v>
      </c>
      <c r="C593" s="533">
        <v>1.04159906</v>
      </c>
    </row>
    <row r="594" spans="1:3">
      <c r="A594" s="531">
        <v>44048</v>
      </c>
      <c r="B594" s="532">
        <v>8.9999999999999998E-4</v>
      </c>
      <c r="C594" s="533">
        <v>1.04160166</v>
      </c>
    </row>
    <row r="595" spans="1:3">
      <c r="A595" s="531">
        <v>44049</v>
      </c>
      <c r="B595" s="532">
        <v>8.9999999999999998E-4</v>
      </c>
      <c r="C595" s="533">
        <v>1.0416042700000001</v>
      </c>
    </row>
    <row r="596" spans="1:3">
      <c r="A596" s="531">
        <v>44050</v>
      </c>
      <c r="B596" s="532">
        <v>8.9999999999999998E-4</v>
      </c>
      <c r="C596" s="533">
        <v>1.0416068700000001</v>
      </c>
    </row>
    <row r="597" spans="1:3">
      <c r="A597" s="531">
        <v>44053</v>
      </c>
      <c r="B597" s="532">
        <v>8.9999999999999998E-4</v>
      </c>
      <c r="C597" s="533">
        <v>1.0416146799999999</v>
      </c>
    </row>
    <row r="598" spans="1:3">
      <c r="A598" s="531">
        <v>44054</v>
      </c>
      <c r="B598" s="532">
        <v>1E-3</v>
      </c>
      <c r="C598" s="533">
        <v>1.04161729</v>
      </c>
    </row>
    <row r="599" spans="1:3">
      <c r="A599" s="531">
        <v>44055</v>
      </c>
      <c r="B599" s="532">
        <v>8.9999999999999998E-4</v>
      </c>
      <c r="C599" s="533">
        <v>1.04162018</v>
      </c>
    </row>
    <row r="600" spans="1:3">
      <c r="A600" s="531">
        <v>44056</v>
      </c>
      <c r="B600" s="532">
        <v>8.9999999999999998E-4</v>
      </c>
      <c r="C600" s="533">
        <v>1.0416227899999999</v>
      </c>
    </row>
    <row r="601" spans="1:3">
      <c r="A601" s="531">
        <v>44057</v>
      </c>
      <c r="B601" s="532">
        <v>8.9999999999999998E-4</v>
      </c>
      <c r="C601" s="533">
        <v>1.0416253900000001</v>
      </c>
    </row>
    <row r="602" spans="1:3">
      <c r="A602" s="531">
        <v>44060</v>
      </c>
      <c r="B602" s="532">
        <v>1E-3</v>
      </c>
      <c r="C602" s="533">
        <v>1.0416331999999999</v>
      </c>
    </row>
    <row r="603" spans="1:3">
      <c r="A603" s="531">
        <v>44061</v>
      </c>
      <c r="B603" s="532">
        <v>8.9999999999999998E-4</v>
      </c>
      <c r="C603" s="533">
        <v>1.0416361000000001</v>
      </c>
    </row>
    <row r="604" spans="1:3">
      <c r="A604" s="531">
        <v>44062</v>
      </c>
      <c r="B604" s="532">
        <v>8.9999999999999998E-4</v>
      </c>
      <c r="C604" s="533">
        <v>1.0416387</v>
      </c>
    </row>
    <row r="605" spans="1:3">
      <c r="A605" s="531">
        <v>44063</v>
      </c>
      <c r="B605" s="532">
        <v>7.000000000000001E-4</v>
      </c>
      <c r="C605" s="533">
        <v>1.0416413</v>
      </c>
    </row>
    <row r="606" spans="1:3">
      <c r="A606" s="531">
        <v>44064</v>
      </c>
      <c r="B606" s="532">
        <v>7.000000000000001E-4</v>
      </c>
      <c r="C606" s="533">
        <v>1.0416433300000001</v>
      </c>
    </row>
    <row r="607" spans="1:3">
      <c r="A607" s="531">
        <v>44067</v>
      </c>
      <c r="B607" s="532">
        <v>8.0000000000000004E-4</v>
      </c>
      <c r="C607" s="533">
        <v>1.04164941</v>
      </c>
    </row>
    <row r="608" spans="1:3">
      <c r="A608" s="531">
        <v>44068</v>
      </c>
      <c r="B608" s="532">
        <v>8.0000000000000004E-4</v>
      </c>
      <c r="C608" s="533">
        <v>1.0416517199999999</v>
      </c>
    </row>
    <row r="609" spans="1:3">
      <c r="A609" s="531">
        <v>44069</v>
      </c>
      <c r="B609" s="532">
        <v>7.000000000000001E-4</v>
      </c>
      <c r="C609" s="533">
        <v>1.0416540400000001</v>
      </c>
    </row>
    <row r="610" spans="1:3">
      <c r="A610" s="531">
        <v>44070</v>
      </c>
      <c r="B610" s="532">
        <v>7.000000000000001E-4</v>
      </c>
      <c r="C610" s="533">
        <v>1.04165606</v>
      </c>
    </row>
    <row r="611" spans="1:3">
      <c r="A611" s="531">
        <v>44071</v>
      </c>
      <c r="B611" s="532">
        <v>7.000000000000001E-4</v>
      </c>
      <c r="C611" s="533">
        <v>1.0416580900000001</v>
      </c>
    </row>
    <row r="612" spans="1:3">
      <c r="A612" s="531">
        <v>44074</v>
      </c>
      <c r="B612" s="532">
        <v>8.9999999999999998E-4</v>
      </c>
      <c r="C612" s="533">
        <v>1.0416641600000001</v>
      </c>
    </row>
    <row r="613" spans="1:3">
      <c r="A613" s="531">
        <v>44075</v>
      </c>
      <c r="B613" s="532">
        <v>8.9999999999999998E-4</v>
      </c>
      <c r="C613" s="533">
        <v>1.04166677</v>
      </c>
    </row>
    <row r="614" spans="1:3">
      <c r="A614" s="531">
        <v>44076</v>
      </c>
      <c r="B614" s="532">
        <v>8.9999999999999998E-4</v>
      </c>
      <c r="C614" s="533">
        <v>1.0416693699999999</v>
      </c>
    </row>
    <row r="615" spans="1:3">
      <c r="A615" s="531">
        <v>44077</v>
      </c>
      <c r="B615" s="532">
        <v>1E-3</v>
      </c>
      <c r="C615" s="533">
        <v>1.0416719699999999</v>
      </c>
    </row>
    <row r="616" spans="1:3">
      <c r="A616" s="531">
        <v>44078</v>
      </c>
      <c r="B616" s="532">
        <v>8.9999999999999998E-4</v>
      </c>
      <c r="C616" s="533">
        <v>1.04167487</v>
      </c>
    </row>
    <row r="617" spans="1:3">
      <c r="A617" s="531">
        <v>44082</v>
      </c>
      <c r="B617" s="532">
        <v>8.9999999999999998E-4</v>
      </c>
      <c r="C617" s="533">
        <v>1.04168529</v>
      </c>
    </row>
    <row r="618" spans="1:3">
      <c r="A618" s="531">
        <v>44083</v>
      </c>
      <c r="B618" s="532">
        <v>8.9999999999999998E-4</v>
      </c>
      <c r="C618" s="533">
        <v>1.0416878899999999</v>
      </c>
    </row>
    <row r="619" spans="1:3">
      <c r="A619" s="531">
        <v>44084</v>
      </c>
      <c r="B619" s="532">
        <v>8.9999999999999998E-4</v>
      </c>
      <c r="C619" s="533">
        <v>1.0416904899999999</v>
      </c>
    </row>
    <row r="620" spans="1:3">
      <c r="A620" s="531">
        <v>44085</v>
      </c>
      <c r="B620" s="532">
        <v>8.9999999999999998E-4</v>
      </c>
      <c r="C620" s="533">
        <v>1.0416931</v>
      </c>
    </row>
    <row r="621" spans="1:3">
      <c r="A621" s="531">
        <v>44088</v>
      </c>
      <c r="B621" s="532">
        <v>8.9999999999999998E-4</v>
      </c>
      <c r="C621" s="533">
        <v>1.0417009100000001</v>
      </c>
    </row>
    <row r="622" spans="1:3">
      <c r="A622" s="531">
        <v>44089</v>
      </c>
      <c r="B622" s="532">
        <v>1E-3</v>
      </c>
      <c r="C622" s="533">
        <v>1.0417035100000001</v>
      </c>
    </row>
    <row r="623" spans="1:3">
      <c r="A623" s="531">
        <v>44090</v>
      </c>
      <c r="B623" s="532">
        <v>1E-3</v>
      </c>
      <c r="C623" s="533">
        <v>1.04170641</v>
      </c>
    </row>
    <row r="624" spans="1:3">
      <c r="A624" s="531">
        <v>44091</v>
      </c>
      <c r="B624" s="532">
        <v>1E-3</v>
      </c>
      <c r="C624" s="533">
        <v>1.0417092999999999</v>
      </c>
    </row>
    <row r="625" spans="1:3">
      <c r="A625" s="531">
        <v>44092</v>
      </c>
      <c r="B625" s="532">
        <v>8.9999999999999998E-4</v>
      </c>
      <c r="C625" s="533">
        <v>1.0417122000000001</v>
      </c>
    </row>
    <row r="626" spans="1:3">
      <c r="A626" s="531">
        <v>44095</v>
      </c>
      <c r="B626" s="532">
        <v>8.0000000000000004E-4</v>
      </c>
      <c r="C626" s="533">
        <v>1.0417200099999999</v>
      </c>
    </row>
    <row r="627" spans="1:3">
      <c r="A627" s="531">
        <v>44096</v>
      </c>
      <c r="B627" s="532">
        <v>7.000000000000001E-4</v>
      </c>
      <c r="C627" s="533">
        <v>1.0417223200000001</v>
      </c>
    </row>
    <row r="628" spans="1:3">
      <c r="A628" s="531">
        <v>44097</v>
      </c>
      <c r="B628" s="532">
        <v>5.9999999999999995E-4</v>
      </c>
      <c r="C628" s="533">
        <v>1.04172435</v>
      </c>
    </row>
    <row r="629" spans="1:3">
      <c r="A629" s="531">
        <v>44098</v>
      </c>
      <c r="B629" s="532">
        <v>7.000000000000001E-4</v>
      </c>
      <c r="C629" s="533">
        <v>1.04172609</v>
      </c>
    </row>
    <row r="630" spans="1:3">
      <c r="A630" s="531">
        <v>44099</v>
      </c>
      <c r="B630" s="532">
        <v>8.0000000000000004E-4</v>
      </c>
      <c r="C630" s="533">
        <v>1.04172811</v>
      </c>
    </row>
    <row r="631" spans="1:3">
      <c r="A631" s="531">
        <v>44102</v>
      </c>
      <c r="B631" s="532">
        <v>8.0000000000000004E-4</v>
      </c>
      <c r="C631" s="533">
        <v>1.0417350599999999</v>
      </c>
    </row>
    <row r="632" spans="1:3">
      <c r="A632" s="531">
        <v>44103</v>
      </c>
      <c r="B632" s="532">
        <v>7.000000000000001E-4</v>
      </c>
      <c r="C632" s="533">
        <v>1.0417373700000001</v>
      </c>
    </row>
    <row r="633" spans="1:3">
      <c r="A633" s="531">
        <v>44104</v>
      </c>
      <c r="B633" s="532">
        <v>8.0000000000000004E-4</v>
      </c>
      <c r="C633" s="533">
        <v>1.0417394</v>
      </c>
    </row>
    <row r="634" spans="1:3">
      <c r="A634" s="531">
        <v>44105</v>
      </c>
      <c r="B634" s="532">
        <v>8.0000000000000004E-4</v>
      </c>
      <c r="C634" s="533">
        <v>1.0417417099999999</v>
      </c>
    </row>
    <row r="635" spans="1:3">
      <c r="A635" s="531">
        <v>44106</v>
      </c>
      <c r="B635" s="532">
        <v>1E-3</v>
      </c>
      <c r="C635" s="533">
        <v>1.04174403</v>
      </c>
    </row>
    <row r="636" spans="1:3">
      <c r="A636" s="531">
        <v>44109</v>
      </c>
      <c r="B636" s="532">
        <v>8.9999999999999998E-4</v>
      </c>
      <c r="C636" s="533">
        <v>1.0417527099999999</v>
      </c>
    </row>
    <row r="637" spans="1:3">
      <c r="A637" s="531">
        <v>44110</v>
      </c>
      <c r="B637" s="532">
        <v>1E-3</v>
      </c>
      <c r="C637" s="533">
        <v>1.0417553100000001</v>
      </c>
    </row>
    <row r="638" spans="1:3">
      <c r="A638" s="531">
        <v>44111</v>
      </c>
      <c r="B638" s="532">
        <v>8.9999999999999998E-4</v>
      </c>
      <c r="C638" s="533">
        <v>1.04175821</v>
      </c>
    </row>
    <row r="639" spans="1:3">
      <c r="A639" s="531">
        <v>44112</v>
      </c>
      <c r="B639" s="532">
        <v>8.0000000000000004E-4</v>
      </c>
      <c r="C639" s="533">
        <v>1.04176081</v>
      </c>
    </row>
    <row r="640" spans="1:3">
      <c r="A640" s="531">
        <v>44113</v>
      </c>
      <c r="B640" s="532">
        <v>8.9999999999999998E-4</v>
      </c>
      <c r="C640" s="533">
        <v>1.0417631199999999</v>
      </c>
    </row>
    <row r="641" spans="1:3">
      <c r="A641" s="531">
        <v>44117</v>
      </c>
      <c r="B641" s="532">
        <v>8.9999999999999998E-4</v>
      </c>
      <c r="C641" s="533">
        <v>1.0417735400000001</v>
      </c>
    </row>
    <row r="642" spans="1:3">
      <c r="A642" s="531">
        <v>44118</v>
      </c>
      <c r="B642" s="532">
        <v>8.9999999999999998E-4</v>
      </c>
      <c r="C642" s="533">
        <v>1.04177615</v>
      </c>
    </row>
    <row r="643" spans="1:3">
      <c r="A643" s="531">
        <v>44119</v>
      </c>
      <c r="B643" s="532">
        <v>1E-3</v>
      </c>
      <c r="C643" s="533">
        <v>1.04177875</v>
      </c>
    </row>
    <row r="644" spans="1:3">
      <c r="A644" s="531">
        <v>44120</v>
      </c>
      <c r="B644" s="532">
        <v>8.9999999999999998E-4</v>
      </c>
      <c r="C644" s="533">
        <v>1.0417816499999999</v>
      </c>
    </row>
    <row r="645" spans="1:3">
      <c r="A645" s="531">
        <v>44123</v>
      </c>
      <c r="B645" s="532">
        <v>8.9999999999999998E-4</v>
      </c>
      <c r="C645" s="533">
        <v>1.0417894599999999</v>
      </c>
    </row>
    <row r="646" spans="1:3">
      <c r="A646" s="531">
        <v>44124</v>
      </c>
      <c r="B646" s="532">
        <v>8.0000000000000004E-4</v>
      </c>
      <c r="C646" s="533">
        <v>1.0417920599999999</v>
      </c>
    </row>
    <row r="647" spans="1:3">
      <c r="A647" s="531">
        <v>44125</v>
      </c>
      <c r="B647" s="532">
        <v>7.000000000000001E-4</v>
      </c>
      <c r="C647" s="533">
        <v>1.04179438</v>
      </c>
    </row>
    <row r="648" spans="1:3">
      <c r="A648" s="531">
        <v>44126</v>
      </c>
      <c r="B648" s="532">
        <v>7.000000000000001E-4</v>
      </c>
      <c r="C648" s="533">
        <v>1.0417964</v>
      </c>
    </row>
    <row r="649" spans="1:3">
      <c r="A649" s="531">
        <v>44127</v>
      </c>
      <c r="B649" s="532">
        <v>8.0000000000000004E-4</v>
      </c>
      <c r="C649" s="533">
        <v>1.0417984300000001</v>
      </c>
    </row>
    <row r="650" spans="1:3">
      <c r="A650" s="531">
        <v>44130</v>
      </c>
      <c r="B650" s="532">
        <v>8.9999999999999998E-4</v>
      </c>
      <c r="C650" s="533">
        <v>1.0418053700000001</v>
      </c>
    </row>
    <row r="651" spans="1:3">
      <c r="A651" s="531">
        <v>44131</v>
      </c>
      <c r="B651" s="532">
        <v>8.9999999999999998E-4</v>
      </c>
      <c r="C651" s="533">
        <v>1.04180798</v>
      </c>
    </row>
    <row r="652" spans="1:3">
      <c r="A652" s="531">
        <v>44132</v>
      </c>
      <c r="B652" s="532">
        <v>8.0000000000000004E-4</v>
      </c>
      <c r="C652" s="533">
        <v>1.0418105799999999</v>
      </c>
    </row>
    <row r="653" spans="1:3">
      <c r="A653" s="531">
        <v>44133</v>
      </c>
      <c r="B653" s="532">
        <v>8.9999999999999998E-4</v>
      </c>
      <c r="C653" s="533">
        <v>1.0418129</v>
      </c>
    </row>
    <row r="654" spans="1:3">
      <c r="A654" s="531">
        <v>44134</v>
      </c>
      <c r="B654" s="532">
        <v>8.9999999999999998E-4</v>
      </c>
      <c r="C654" s="533">
        <v>1.0418155</v>
      </c>
    </row>
    <row r="655" spans="1:3">
      <c r="A655" s="531">
        <v>44137</v>
      </c>
      <c r="B655" s="532">
        <v>1.1000000000000001E-3</v>
      </c>
      <c r="C655" s="533">
        <v>1.04182332</v>
      </c>
    </row>
    <row r="656" spans="1:3">
      <c r="A656" s="531">
        <v>44138</v>
      </c>
      <c r="B656" s="532">
        <v>1E-3</v>
      </c>
      <c r="C656" s="533">
        <v>1.0418265</v>
      </c>
    </row>
    <row r="657" spans="1:3">
      <c r="A657" s="531">
        <v>44139</v>
      </c>
      <c r="B657" s="532">
        <v>1E-3</v>
      </c>
      <c r="C657" s="533">
        <v>1.04182939</v>
      </c>
    </row>
    <row r="658" spans="1:3">
      <c r="A658" s="531">
        <v>44140</v>
      </c>
      <c r="B658" s="532">
        <v>1.1000000000000001E-3</v>
      </c>
      <c r="C658" s="533">
        <v>1.0418322900000001</v>
      </c>
    </row>
    <row r="659" spans="1:3">
      <c r="A659" s="531">
        <v>44141</v>
      </c>
      <c r="B659" s="532">
        <v>1E-3</v>
      </c>
      <c r="C659" s="533">
        <v>1.0418354700000001</v>
      </c>
    </row>
    <row r="660" spans="1:3">
      <c r="A660" s="531">
        <v>44144</v>
      </c>
      <c r="B660" s="532">
        <v>1E-3</v>
      </c>
      <c r="C660" s="533">
        <v>1.04184415</v>
      </c>
    </row>
    <row r="661" spans="1:3">
      <c r="A661" s="531">
        <v>44145</v>
      </c>
      <c r="B661" s="532">
        <v>1E-3</v>
      </c>
      <c r="C661" s="533">
        <v>1.0418470500000001</v>
      </c>
    </row>
    <row r="662" spans="1:3">
      <c r="A662" s="531">
        <v>44147</v>
      </c>
      <c r="B662" s="532">
        <v>8.9999999999999998E-4</v>
      </c>
      <c r="C662" s="533">
        <v>1.04185284</v>
      </c>
    </row>
    <row r="663" spans="1:3">
      <c r="A663" s="531">
        <v>44148</v>
      </c>
      <c r="B663" s="532">
        <v>8.9999999999999998E-4</v>
      </c>
      <c r="C663" s="533">
        <v>1.04185544</v>
      </c>
    </row>
    <row r="664" spans="1:3">
      <c r="A664" s="531">
        <v>44151</v>
      </c>
      <c r="B664" s="532">
        <v>1E-3</v>
      </c>
      <c r="C664" s="533">
        <v>1.04186325</v>
      </c>
    </row>
    <row r="665" spans="1:3">
      <c r="A665" s="531">
        <v>44152</v>
      </c>
      <c r="B665" s="532">
        <v>8.9999999999999998E-4</v>
      </c>
      <c r="C665" s="533">
        <v>1.0418661499999999</v>
      </c>
    </row>
    <row r="666" spans="1:3">
      <c r="A666" s="531">
        <v>44153</v>
      </c>
      <c r="B666" s="532">
        <v>7.000000000000001E-4</v>
      </c>
      <c r="C666" s="533">
        <v>1.0418687499999999</v>
      </c>
    </row>
    <row r="667" spans="1:3">
      <c r="A667" s="531">
        <v>44154</v>
      </c>
      <c r="B667" s="532">
        <v>5.9999999999999995E-4</v>
      </c>
      <c r="C667" s="533">
        <v>1.04187078</v>
      </c>
    </row>
    <row r="668" spans="1:3">
      <c r="A668" s="531">
        <v>44155</v>
      </c>
      <c r="B668" s="532">
        <v>5.0000000000000001E-4</v>
      </c>
      <c r="C668" s="533">
        <v>1.0418725200000001</v>
      </c>
    </row>
    <row r="669" spans="1:3">
      <c r="A669" s="531">
        <v>44158</v>
      </c>
      <c r="B669" s="532">
        <v>5.0000000000000001E-4</v>
      </c>
      <c r="C669" s="533">
        <v>1.0418768599999999</v>
      </c>
    </row>
    <row r="670" spans="1:3">
      <c r="A670" s="531">
        <v>44159</v>
      </c>
      <c r="B670" s="532">
        <v>7.000000000000001E-4</v>
      </c>
      <c r="C670" s="533">
        <v>1.0418783</v>
      </c>
    </row>
    <row r="671" spans="1:3">
      <c r="A671" s="531">
        <v>44160</v>
      </c>
      <c r="B671" s="532">
        <v>8.0000000000000004E-4</v>
      </c>
      <c r="C671" s="533">
        <v>1.0418803299999999</v>
      </c>
    </row>
    <row r="672" spans="1:3">
      <c r="A672" s="531">
        <v>44162</v>
      </c>
      <c r="B672" s="532">
        <v>8.0000000000000004E-4</v>
      </c>
      <c r="C672" s="533">
        <v>1.04188496</v>
      </c>
    </row>
    <row r="673" spans="1:3">
      <c r="A673" s="531">
        <v>44165</v>
      </c>
      <c r="B673" s="532">
        <v>8.9999999999999998E-4</v>
      </c>
      <c r="C673" s="533">
        <v>1.0418919099999999</v>
      </c>
    </row>
    <row r="674" spans="1:3">
      <c r="A674" s="531">
        <v>44166</v>
      </c>
      <c r="B674" s="532">
        <v>8.0000000000000004E-4</v>
      </c>
      <c r="C674" s="533">
        <v>1.0418945100000001</v>
      </c>
    </row>
    <row r="675" spans="1:3">
      <c r="A675" s="531">
        <v>44167</v>
      </c>
      <c r="B675" s="532">
        <v>8.0000000000000004E-4</v>
      </c>
      <c r="C675" s="533">
        <v>1.04189683</v>
      </c>
    </row>
    <row r="676" spans="1:3">
      <c r="A676" s="531">
        <v>44168</v>
      </c>
      <c r="B676" s="532">
        <v>8.0000000000000004E-4</v>
      </c>
      <c r="C676" s="533">
        <v>1.0418991399999999</v>
      </c>
    </row>
    <row r="677" spans="1:3">
      <c r="A677" s="531">
        <v>44169</v>
      </c>
      <c r="B677" s="532">
        <v>8.9999999999999998E-4</v>
      </c>
      <c r="C677" s="533">
        <v>1.0419014600000001</v>
      </c>
    </row>
    <row r="678" spans="1:3">
      <c r="A678" s="531">
        <v>44172</v>
      </c>
      <c r="B678" s="532">
        <v>8.0000000000000004E-4</v>
      </c>
      <c r="C678" s="533">
        <v>1.0419092700000001</v>
      </c>
    </row>
    <row r="679" spans="1:3">
      <c r="A679" s="531">
        <v>44173</v>
      </c>
      <c r="B679" s="532">
        <v>7.000000000000001E-4</v>
      </c>
      <c r="C679" s="533">
        <v>1.04191159</v>
      </c>
    </row>
    <row r="680" spans="1:3">
      <c r="A680" s="531">
        <v>44174</v>
      </c>
      <c r="B680" s="532">
        <v>8.0000000000000004E-4</v>
      </c>
      <c r="C680" s="533">
        <v>1.0419136099999999</v>
      </c>
    </row>
    <row r="681" spans="1:3">
      <c r="A681" s="531">
        <v>44175</v>
      </c>
      <c r="B681" s="532">
        <v>8.0000000000000004E-4</v>
      </c>
      <c r="C681" s="533">
        <v>1.04191593</v>
      </c>
    </row>
    <row r="682" spans="1:3">
      <c r="A682" s="531">
        <v>44176</v>
      </c>
      <c r="B682" s="532">
        <v>8.0000000000000004E-4</v>
      </c>
      <c r="C682" s="533">
        <v>1.04191824</v>
      </c>
    </row>
    <row r="683" spans="1:3">
      <c r="A683" s="531">
        <v>44179</v>
      </c>
      <c r="B683" s="532">
        <v>8.0000000000000004E-4</v>
      </c>
      <c r="C683" s="533">
        <v>1.0419251899999999</v>
      </c>
    </row>
    <row r="684" spans="1:3">
      <c r="A684" s="531">
        <v>44180</v>
      </c>
      <c r="B684" s="532">
        <v>8.9999999999999998E-4</v>
      </c>
      <c r="C684" s="533">
        <v>1.0419274999999999</v>
      </c>
    </row>
    <row r="685" spans="1:3">
      <c r="A685" s="531">
        <v>44181</v>
      </c>
      <c r="B685" s="532">
        <v>8.9999999999999998E-4</v>
      </c>
      <c r="C685" s="533">
        <v>1.04193011</v>
      </c>
    </row>
    <row r="686" spans="1:3">
      <c r="A686" s="531">
        <v>44182</v>
      </c>
      <c r="B686" s="532">
        <v>8.9999999999999998E-4</v>
      </c>
      <c r="C686" s="533">
        <v>1.04193271</v>
      </c>
    </row>
    <row r="687" spans="1:3">
      <c r="A687" s="531">
        <v>44183</v>
      </c>
      <c r="B687" s="532">
        <v>8.9999999999999998E-4</v>
      </c>
      <c r="C687" s="533">
        <v>1.0419353200000001</v>
      </c>
    </row>
    <row r="688" spans="1:3">
      <c r="A688" s="531">
        <v>44186</v>
      </c>
      <c r="B688" s="532">
        <v>8.9999999999999998E-4</v>
      </c>
      <c r="C688" s="533">
        <v>1.0419431299999999</v>
      </c>
    </row>
    <row r="689" spans="1:3">
      <c r="A689" s="531">
        <v>44187</v>
      </c>
      <c r="B689" s="532">
        <v>7.000000000000001E-4</v>
      </c>
      <c r="C689" s="533">
        <v>1.0419457400000001</v>
      </c>
    </row>
    <row r="690" spans="1:3">
      <c r="A690" s="531">
        <v>44188</v>
      </c>
      <c r="B690" s="532">
        <v>5.9999999999999995E-4</v>
      </c>
      <c r="C690" s="533">
        <v>1.04194776</v>
      </c>
    </row>
    <row r="691" spans="1:3">
      <c r="A691" s="531">
        <v>44189</v>
      </c>
      <c r="B691" s="532">
        <v>8.0000000000000004E-4</v>
      </c>
      <c r="C691" s="533">
        <v>1.0419495000000001</v>
      </c>
    </row>
    <row r="692" spans="1:3">
      <c r="A692" s="531">
        <v>44193</v>
      </c>
      <c r="B692" s="532">
        <v>8.9999999999999998E-4</v>
      </c>
      <c r="C692" s="533">
        <v>1.04195876</v>
      </c>
    </row>
    <row r="693" spans="1:3">
      <c r="A693" s="531">
        <v>44194</v>
      </c>
      <c r="B693" s="532">
        <v>1E-3</v>
      </c>
      <c r="C693" s="533">
        <v>1.0419613700000001</v>
      </c>
    </row>
    <row r="694" spans="1:3">
      <c r="A694" s="531">
        <v>44195</v>
      </c>
      <c r="B694" s="532">
        <v>8.9999999999999998E-4</v>
      </c>
      <c r="C694" s="533">
        <v>1.0419642600000001</v>
      </c>
    </row>
    <row r="695" spans="1:3">
      <c r="A695" s="531">
        <v>44196</v>
      </c>
      <c r="B695" s="532">
        <v>7.000000000000001E-4</v>
      </c>
      <c r="C695" s="533">
        <v>1.04196687</v>
      </c>
    </row>
    <row r="696" spans="1:3">
      <c r="A696" s="531">
        <v>44200</v>
      </c>
      <c r="B696" s="532">
        <v>1E-3</v>
      </c>
      <c r="C696" s="533">
        <v>1.0419749700000001</v>
      </c>
    </row>
    <row r="697" spans="1:3">
      <c r="A697" s="531">
        <v>44201</v>
      </c>
      <c r="B697" s="532">
        <v>1.1000000000000001E-3</v>
      </c>
      <c r="C697" s="533">
        <v>1.04197787</v>
      </c>
    </row>
    <row r="698" spans="1:3">
      <c r="A698" s="531">
        <v>44202</v>
      </c>
      <c r="B698" s="532">
        <v>1E-3</v>
      </c>
      <c r="C698" s="533">
        <v>1.04198105</v>
      </c>
    </row>
    <row r="699" spans="1:3">
      <c r="A699" s="531">
        <v>44203</v>
      </c>
      <c r="B699" s="532">
        <v>1E-3</v>
      </c>
      <c r="C699" s="533">
        <v>1.0419839399999999</v>
      </c>
    </row>
    <row r="700" spans="1:3">
      <c r="A700" s="531">
        <v>44204</v>
      </c>
      <c r="B700" s="532">
        <v>8.9999999999999998E-4</v>
      </c>
      <c r="C700" s="533">
        <v>1.0419868400000001</v>
      </c>
    </row>
    <row r="701" spans="1:3">
      <c r="A701" s="531">
        <v>44207</v>
      </c>
      <c r="B701" s="532">
        <v>8.9999999999999998E-4</v>
      </c>
      <c r="C701" s="533">
        <v>1.0419946499999999</v>
      </c>
    </row>
    <row r="702" spans="1:3">
      <c r="A702" s="531">
        <v>44208</v>
      </c>
      <c r="B702" s="532">
        <v>8.0000000000000004E-4</v>
      </c>
      <c r="C702" s="533">
        <v>1.04199726</v>
      </c>
    </row>
    <row r="703" spans="1:3">
      <c r="A703" s="531">
        <v>44209</v>
      </c>
      <c r="B703" s="532">
        <v>8.0000000000000004E-4</v>
      </c>
      <c r="C703" s="533">
        <v>1.04199957</v>
      </c>
    </row>
    <row r="704" spans="1:3">
      <c r="A704" s="531">
        <v>44210</v>
      </c>
      <c r="B704" s="532">
        <v>8.0000000000000004E-4</v>
      </c>
      <c r="C704" s="533">
        <v>1.0420018900000001</v>
      </c>
    </row>
    <row r="705" spans="1:3">
      <c r="A705" s="531">
        <v>44211</v>
      </c>
      <c r="B705" s="532">
        <v>8.0000000000000004E-4</v>
      </c>
      <c r="C705" s="533">
        <v>1.0420042</v>
      </c>
    </row>
    <row r="706" spans="1:3">
      <c r="A706" s="531">
        <v>44215</v>
      </c>
      <c r="B706" s="532">
        <v>7.000000000000001E-4</v>
      </c>
      <c r="C706" s="533">
        <v>1.0420134700000001</v>
      </c>
    </row>
    <row r="707" spans="1:3">
      <c r="A707" s="531">
        <v>44216</v>
      </c>
      <c r="B707" s="532">
        <v>5.9999999999999995E-4</v>
      </c>
      <c r="C707" s="533">
        <v>1.04201549</v>
      </c>
    </row>
    <row r="708" spans="1:3">
      <c r="A708" s="531">
        <v>44217</v>
      </c>
      <c r="B708" s="532">
        <v>4.0000000000000002E-4</v>
      </c>
      <c r="C708" s="533">
        <v>1.0420172299999999</v>
      </c>
    </row>
    <row r="709" spans="1:3">
      <c r="A709" s="531">
        <v>44218</v>
      </c>
      <c r="B709" s="532">
        <v>5.0000000000000001E-4</v>
      </c>
      <c r="C709" s="533">
        <v>1.04201839</v>
      </c>
    </row>
    <row r="710" spans="1:3">
      <c r="A710" s="531">
        <v>44221</v>
      </c>
      <c r="B710" s="532">
        <v>5.9999999999999995E-4</v>
      </c>
      <c r="C710" s="533">
        <v>1.04202273</v>
      </c>
    </row>
    <row r="711" spans="1:3">
      <c r="A711" s="531">
        <v>44222</v>
      </c>
      <c r="B711" s="532">
        <v>2.9999999999999997E-4</v>
      </c>
      <c r="C711" s="533">
        <v>1.0420244700000001</v>
      </c>
    </row>
    <row r="712" spans="1:3">
      <c r="A712" s="531">
        <v>44223</v>
      </c>
      <c r="B712" s="532">
        <v>2.9999999999999997E-4</v>
      </c>
      <c r="C712" s="533">
        <v>1.04202533</v>
      </c>
    </row>
    <row r="713" spans="1:3">
      <c r="A713" s="531">
        <v>44224</v>
      </c>
      <c r="B713" s="532">
        <v>4.0000000000000002E-4</v>
      </c>
      <c r="C713" s="533">
        <v>1.0420262</v>
      </c>
    </row>
    <row r="714" spans="1:3">
      <c r="A714" s="531">
        <v>44225</v>
      </c>
      <c r="B714" s="532">
        <v>5.9999999999999995E-4</v>
      </c>
      <c r="C714" s="533">
        <v>1.0420273600000001</v>
      </c>
    </row>
    <row r="715" spans="1:3">
      <c r="A715" s="531">
        <v>44228</v>
      </c>
      <c r="B715" s="532">
        <v>7.000000000000001E-4</v>
      </c>
      <c r="C715" s="533">
        <v>1.0420325699999999</v>
      </c>
    </row>
    <row r="716" spans="1:3">
      <c r="A716" s="531">
        <v>44229</v>
      </c>
      <c r="B716" s="532">
        <v>7.000000000000001E-4</v>
      </c>
      <c r="C716" s="533">
        <v>1.0420346</v>
      </c>
    </row>
    <row r="717" spans="1:3">
      <c r="A717" s="531">
        <v>44230</v>
      </c>
      <c r="B717" s="532">
        <v>7.000000000000001E-4</v>
      </c>
      <c r="C717" s="533">
        <v>1.04203662</v>
      </c>
    </row>
    <row r="718" spans="1:3">
      <c r="A718" s="531">
        <v>44231</v>
      </c>
      <c r="B718" s="532">
        <v>5.0000000000000001E-4</v>
      </c>
      <c r="C718" s="533">
        <v>1.0420386500000001</v>
      </c>
    </row>
    <row r="719" spans="1:3">
      <c r="A719" s="531">
        <v>44232</v>
      </c>
      <c r="B719" s="532">
        <v>2.0000000000000001E-4</v>
      </c>
      <c r="C719" s="533">
        <v>1.0420400999999999</v>
      </c>
    </row>
    <row r="720" spans="1:3">
      <c r="A720" s="531">
        <v>44235</v>
      </c>
      <c r="B720" s="532">
        <v>2.0000000000000001E-4</v>
      </c>
      <c r="C720" s="533">
        <v>1.0420418300000001</v>
      </c>
    </row>
    <row r="721" spans="1:3">
      <c r="A721" s="531">
        <v>44236</v>
      </c>
      <c r="B721" s="532">
        <v>5.0000000000000001E-4</v>
      </c>
      <c r="C721" s="533">
        <v>1.0420424100000001</v>
      </c>
    </row>
    <row r="722" spans="1:3">
      <c r="A722" s="531">
        <v>44237</v>
      </c>
      <c r="B722" s="532">
        <v>5.9999999999999995E-4</v>
      </c>
      <c r="C722" s="533">
        <v>1.0420438599999999</v>
      </c>
    </row>
    <row r="723" spans="1:3">
      <c r="A723" s="531">
        <v>44238</v>
      </c>
      <c r="B723" s="532">
        <v>5.9999999999999995E-4</v>
      </c>
      <c r="C723" s="533">
        <v>1.0420456</v>
      </c>
    </row>
    <row r="724" spans="1:3">
      <c r="A724" s="531">
        <v>44239</v>
      </c>
      <c r="B724" s="532">
        <v>5.0000000000000001E-4</v>
      </c>
      <c r="C724" s="533">
        <v>1.0420473299999999</v>
      </c>
    </row>
    <row r="725" spans="1:3">
      <c r="A725" s="531">
        <v>44243</v>
      </c>
      <c r="B725" s="532">
        <v>5.9999999999999995E-4</v>
      </c>
      <c r="C725" s="533">
        <v>1.0420531200000001</v>
      </c>
    </row>
    <row r="726" spans="1:3">
      <c r="A726" s="531">
        <v>44244</v>
      </c>
      <c r="B726" s="532">
        <v>5.9999999999999995E-4</v>
      </c>
      <c r="C726" s="533">
        <v>1.0420548599999999</v>
      </c>
    </row>
    <row r="727" spans="1:3">
      <c r="A727" s="531">
        <v>44245</v>
      </c>
      <c r="B727" s="532">
        <v>2.9999999999999997E-4</v>
      </c>
      <c r="C727" s="533">
        <v>1.0420566</v>
      </c>
    </row>
    <row r="728" spans="1:3">
      <c r="A728" s="531">
        <v>44246</v>
      </c>
      <c r="B728" s="532">
        <v>2.0000000000000001E-4</v>
      </c>
      <c r="C728" s="533">
        <v>1.0420574600000001</v>
      </c>
    </row>
    <row r="729" spans="1:3">
      <c r="A729" s="531">
        <v>44249</v>
      </c>
      <c r="B729" s="532">
        <v>2.9999999999999997E-4</v>
      </c>
      <c r="C729" s="533">
        <v>1.0420592</v>
      </c>
    </row>
    <row r="730" spans="1:3">
      <c r="A730" s="531">
        <v>44250</v>
      </c>
      <c r="B730" s="532">
        <v>1E-4</v>
      </c>
      <c r="C730" s="533">
        <v>1.04206007</v>
      </c>
    </row>
    <row r="731" spans="1:3">
      <c r="A731" s="531">
        <v>44251</v>
      </c>
      <c r="B731" s="532">
        <v>2.0000000000000001E-4</v>
      </c>
      <c r="C731" s="533">
        <v>1.04206036</v>
      </c>
    </row>
    <row r="732" spans="1:3">
      <c r="A732" s="531">
        <v>44252</v>
      </c>
      <c r="B732" s="532">
        <v>2.9999999999999997E-4</v>
      </c>
      <c r="C732" s="533">
        <v>1.04206094</v>
      </c>
    </row>
    <row r="733" spans="1:3">
      <c r="A733" s="531">
        <v>44253</v>
      </c>
      <c r="B733" s="532">
        <v>1E-4</v>
      </c>
      <c r="C733" s="533">
        <v>1.0420618100000001</v>
      </c>
    </row>
    <row r="734" spans="1:3">
      <c r="A734" s="531">
        <v>44256</v>
      </c>
      <c r="B734" s="532">
        <v>2.0000000000000001E-4</v>
      </c>
      <c r="C734" s="533">
        <v>1.04206267</v>
      </c>
    </row>
    <row r="735" spans="1:3">
      <c r="A735" s="531">
        <v>44257</v>
      </c>
      <c r="B735" s="532">
        <v>4.0000000000000002E-4</v>
      </c>
      <c r="C735" s="533">
        <v>1.04206325</v>
      </c>
    </row>
    <row r="736" spans="1:3">
      <c r="A736" s="531">
        <v>44258</v>
      </c>
      <c r="B736" s="532">
        <v>4.0000000000000002E-4</v>
      </c>
      <c r="C736" s="533">
        <v>1.0420644100000001</v>
      </c>
    </row>
    <row r="737" spans="1:3">
      <c r="A737" s="531">
        <v>44259</v>
      </c>
      <c r="B737" s="532">
        <v>2.0000000000000001E-4</v>
      </c>
      <c r="C737" s="533">
        <v>1.0420655700000001</v>
      </c>
    </row>
    <row r="738" spans="1:3">
      <c r="A738" s="531">
        <v>44260</v>
      </c>
      <c r="B738" s="532">
        <v>2.0000000000000001E-4</v>
      </c>
      <c r="C738" s="533">
        <v>1.0420661499999999</v>
      </c>
    </row>
    <row r="739" spans="1:3">
      <c r="A739" s="531">
        <v>44263</v>
      </c>
      <c r="B739" s="532">
        <v>2.0000000000000001E-4</v>
      </c>
      <c r="C739" s="533">
        <v>1.0420678800000001</v>
      </c>
    </row>
    <row r="740" spans="1:3">
      <c r="A740" s="531">
        <v>44264</v>
      </c>
      <c r="B740" s="532">
        <v>2.0000000000000001E-4</v>
      </c>
      <c r="C740" s="533">
        <v>1.0420684600000001</v>
      </c>
    </row>
    <row r="741" spans="1:3">
      <c r="A741" s="531">
        <v>44265</v>
      </c>
      <c r="B741" s="532">
        <v>2.0000000000000001E-4</v>
      </c>
      <c r="C741" s="533">
        <v>1.0420690399999999</v>
      </c>
    </row>
    <row r="742" spans="1:3">
      <c r="A742" s="531">
        <v>44266</v>
      </c>
      <c r="B742" s="532">
        <v>1E-4</v>
      </c>
      <c r="C742" s="533">
        <v>1.0420696199999999</v>
      </c>
    </row>
    <row r="743" spans="1:3">
      <c r="A743" s="531">
        <v>44267</v>
      </c>
      <c r="B743" s="532">
        <v>1E-4</v>
      </c>
      <c r="C743" s="533">
        <v>1.0420699099999999</v>
      </c>
    </row>
    <row r="744" spans="1:3">
      <c r="A744" s="531">
        <v>44270</v>
      </c>
      <c r="B744" s="532">
        <v>1E-4</v>
      </c>
      <c r="C744" s="533">
        <v>1.04207078</v>
      </c>
    </row>
    <row r="745" spans="1:3">
      <c r="A745" s="531">
        <v>44271</v>
      </c>
      <c r="B745" s="532">
        <v>1E-4</v>
      </c>
      <c r="C745" s="533">
        <v>1.04207107</v>
      </c>
    </row>
    <row r="746" spans="1:3">
      <c r="A746" s="531">
        <v>44272</v>
      </c>
      <c r="B746" s="532">
        <v>1E-4</v>
      </c>
      <c r="C746" s="533">
        <v>1.04207136</v>
      </c>
    </row>
    <row r="747" spans="1:3">
      <c r="A747" s="531">
        <v>44273</v>
      </c>
      <c r="B747" s="532">
        <v>1E-4</v>
      </c>
      <c r="C747" s="533">
        <v>1.04207165</v>
      </c>
    </row>
    <row r="748" spans="1:3">
      <c r="A748" s="531">
        <v>44274</v>
      </c>
      <c r="B748" s="532">
        <v>1E-4</v>
      </c>
      <c r="C748" s="533">
        <v>1.04207194</v>
      </c>
    </row>
    <row r="749" spans="1:3">
      <c r="A749" s="531">
        <v>44277</v>
      </c>
      <c r="B749" s="532">
        <v>1E-4</v>
      </c>
      <c r="C749" s="533">
        <v>1.0420728100000001</v>
      </c>
    </row>
    <row r="750" spans="1:3">
      <c r="A750" s="531">
        <v>44278</v>
      </c>
      <c r="B750" s="532">
        <v>1E-4</v>
      </c>
      <c r="C750" s="533">
        <v>1.0420730899999999</v>
      </c>
    </row>
    <row r="751" spans="1:3">
      <c r="A751" s="531">
        <v>44279</v>
      </c>
      <c r="B751" s="532">
        <v>1E-4</v>
      </c>
      <c r="C751" s="533">
        <v>1.0420733799999999</v>
      </c>
    </row>
    <row r="752" spans="1:3">
      <c r="A752" s="531">
        <v>44280</v>
      </c>
      <c r="B752" s="532">
        <v>1E-4</v>
      </c>
      <c r="C752" s="533">
        <v>1.04207367</v>
      </c>
    </row>
    <row r="753" spans="1:3">
      <c r="A753" s="531">
        <v>44281</v>
      </c>
      <c r="B753" s="532">
        <v>1E-4</v>
      </c>
      <c r="C753" s="533">
        <v>1.04207396</v>
      </c>
    </row>
    <row r="754" spans="1:3">
      <c r="A754" s="531">
        <v>44284</v>
      </c>
      <c r="B754" s="532">
        <v>1E-4</v>
      </c>
      <c r="C754" s="533">
        <v>1.04207483</v>
      </c>
    </row>
    <row r="755" spans="1:3">
      <c r="A755" s="531">
        <v>44285</v>
      </c>
      <c r="B755" s="532">
        <v>1E-4</v>
      </c>
      <c r="C755" s="533">
        <v>1.04207512</v>
      </c>
    </row>
    <row r="756" spans="1:3">
      <c r="A756" s="531">
        <v>44286</v>
      </c>
      <c r="B756" s="532">
        <v>1E-4</v>
      </c>
      <c r="C756" s="533">
        <v>1.04207541</v>
      </c>
    </row>
    <row r="757" spans="1:3">
      <c r="A757" s="531">
        <v>44287</v>
      </c>
      <c r="B757" s="532">
        <v>1E-4</v>
      </c>
      <c r="C757" s="533">
        <v>1.0420757</v>
      </c>
    </row>
    <row r="758" spans="1:3">
      <c r="A758" s="531">
        <v>44291</v>
      </c>
      <c r="B758" s="532">
        <v>1E-4</v>
      </c>
      <c r="C758" s="533">
        <v>1.0420768600000001</v>
      </c>
    </row>
    <row r="759" spans="1:3">
      <c r="A759" s="531">
        <v>44292</v>
      </c>
      <c r="B759" s="532">
        <v>1E-4</v>
      </c>
      <c r="C759" s="533">
        <v>1.0420771499999999</v>
      </c>
    </row>
    <row r="760" spans="1:3">
      <c r="A760" s="531">
        <v>44293</v>
      </c>
      <c r="B760" s="532">
        <v>1E-4</v>
      </c>
      <c r="C760" s="533">
        <v>1.0420774399999999</v>
      </c>
    </row>
    <row r="761" spans="1:3">
      <c r="A761" s="531">
        <v>44294</v>
      </c>
      <c r="B761" s="532">
        <v>1E-4</v>
      </c>
      <c r="C761" s="533">
        <v>1.0420777299999999</v>
      </c>
    </row>
    <row r="762" spans="1:3">
      <c r="A762" s="531">
        <v>44295</v>
      </c>
      <c r="B762" s="532">
        <v>1E-4</v>
      </c>
      <c r="C762" s="533">
        <v>1.0420780199999999</v>
      </c>
    </row>
    <row r="763" spans="1:3">
      <c r="A763" s="531">
        <v>44298</v>
      </c>
      <c r="B763" s="532">
        <v>1E-4</v>
      </c>
      <c r="C763" s="533">
        <v>1.04207888</v>
      </c>
    </row>
    <row r="764" spans="1:3">
      <c r="A764" s="531">
        <v>44299</v>
      </c>
      <c r="B764" s="532">
        <v>1E-4</v>
      </c>
      <c r="C764" s="533">
        <v>1.0420791700000001</v>
      </c>
    </row>
    <row r="765" spans="1:3">
      <c r="A765" s="531">
        <v>44300</v>
      </c>
      <c r="B765" s="532">
        <v>1E-4</v>
      </c>
      <c r="C765" s="533">
        <v>1.0420794600000001</v>
      </c>
    </row>
    <row r="766" spans="1:3">
      <c r="A766" s="531">
        <v>44301</v>
      </c>
      <c r="B766" s="532">
        <v>1E-4</v>
      </c>
      <c r="C766" s="533">
        <v>1.0420797500000001</v>
      </c>
    </row>
    <row r="767" spans="1:3">
      <c r="A767" s="531">
        <v>44302</v>
      </c>
      <c r="B767" s="532">
        <v>1E-4</v>
      </c>
      <c r="C767" s="533">
        <v>1.0420800400000001</v>
      </c>
    </row>
    <row r="768" spans="1:3">
      <c r="A768" s="531">
        <v>44305</v>
      </c>
      <c r="B768" s="532">
        <v>1E-4</v>
      </c>
      <c r="C768" s="533">
        <v>1.0420809099999999</v>
      </c>
    </row>
    <row r="769" spans="1:3">
      <c r="A769" s="531">
        <v>44306</v>
      </c>
      <c r="B769" s="532">
        <v>1E-4</v>
      </c>
      <c r="C769" s="533">
        <v>1.0420811999999999</v>
      </c>
    </row>
    <row r="770" spans="1:3">
      <c r="A770" s="531">
        <v>44307</v>
      </c>
      <c r="B770" s="532">
        <v>1E-4</v>
      </c>
      <c r="C770" s="533">
        <v>1.0420814899999999</v>
      </c>
    </row>
    <row r="771" spans="1:3">
      <c r="A771" s="531">
        <v>44308</v>
      </c>
      <c r="B771" s="532">
        <v>1E-4</v>
      </c>
      <c r="C771" s="533">
        <v>1.04208178</v>
      </c>
    </row>
    <row r="772" spans="1:3">
      <c r="A772" s="531">
        <v>44309</v>
      </c>
      <c r="B772" s="532">
        <v>1E-4</v>
      </c>
      <c r="C772" s="533">
        <v>1.04208207</v>
      </c>
    </row>
    <row r="773" spans="1:3">
      <c r="A773" s="531">
        <v>44312</v>
      </c>
      <c r="B773" s="532">
        <v>1E-4</v>
      </c>
      <c r="C773" s="533">
        <v>1.04208294</v>
      </c>
    </row>
    <row r="774" spans="1:3">
      <c r="A774" s="531">
        <v>44313</v>
      </c>
      <c r="B774" s="532">
        <v>1E-4</v>
      </c>
      <c r="C774" s="533">
        <v>1.04208323</v>
      </c>
    </row>
    <row r="775" spans="1:3">
      <c r="A775" s="531">
        <v>44314</v>
      </c>
      <c r="B775" s="532">
        <v>1E-4</v>
      </c>
      <c r="C775" s="533">
        <v>1.04208352</v>
      </c>
    </row>
    <row r="776" spans="1:3">
      <c r="A776" s="531">
        <v>44315</v>
      </c>
      <c r="B776" s="532">
        <v>1E-4</v>
      </c>
      <c r="C776" s="533">
        <v>1.0420838100000001</v>
      </c>
    </row>
    <row r="777" spans="1:3">
      <c r="A777" s="531">
        <v>44316</v>
      </c>
      <c r="B777" s="532">
        <v>1E-4</v>
      </c>
      <c r="C777" s="533">
        <v>1.0420840899999999</v>
      </c>
    </row>
    <row r="778" spans="1:3">
      <c r="A778" s="531">
        <v>44319</v>
      </c>
      <c r="B778" s="532">
        <v>1E-4</v>
      </c>
      <c r="C778" s="533">
        <v>1.0420849599999999</v>
      </c>
    </row>
    <row r="779" spans="1:3">
      <c r="A779" s="531">
        <v>44320</v>
      </c>
      <c r="B779" s="532">
        <v>1E-4</v>
      </c>
      <c r="C779" s="533">
        <v>1.04208525</v>
      </c>
    </row>
    <row r="780" spans="1:3">
      <c r="A780" s="531">
        <v>44321</v>
      </c>
      <c r="B780" s="532">
        <v>1E-4</v>
      </c>
      <c r="C780" s="533">
        <v>1.04208554</v>
      </c>
    </row>
    <row r="781" spans="1:3">
      <c r="A781" s="531">
        <v>44322</v>
      </c>
      <c r="B781" s="532">
        <v>1E-4</v>
      </c>
      <c r="C781" s="533">
        <v>1.04208583</v>
      </c>
    </row>
    <row r="782" spans="1:3">
      <c r="A782" s="531">
        <v>44323</v>
      </c>
      <c r="B782" s="532">
        <v>1E-4</v>
      </c>
      <c r="C782" s="533">
        <v>1.04208612</v>
      </c>
    </row>
    <row r="783" spans="1:3">
      <c r="A783" s="531">
        <v>44326</v>
      </c>
      <c r="B783" s="532">
        <v>1E-4</v>
      </c>
      <c r="C783" s="533">
        <v>1.04208699</v>
      </c>
    </row>
    <row r="784" spans="1:3">
      <c r="A784" s="531">
        <v>44327</v>
      </c>
      <c r="B784" s="532">
        <v>1E-4</v>
      </c>
      <c r="C784" s="533">
        <v>1.0420872800000001</v>
      </c>
    </row>
    <row r="785" spans="1:3">
      <c r="A785" s="531">
        <v>44328</v>
      </c>
      <c r="B785" s="532">
        <v>1E-4</v>
      </c>
      <c r="C785" s="533">
        <v>1.0420875700000001</v>
      </c>
    </row>
    <row r="786" spans="1:3">
      <c r="A786" s="531">
        <v>44329</v>
      </c>
      <c r="B786" s="532">
        <v>1E-4</v>
      </c>
      <c r="C786" s="533">
        <v>1.0420878600000001</v>
      </c>
    </row>
    <row r="787" spans="1:3">
      <c r="A787" s="531">
        <v>44330</v>
      </c>
      <c r="B787" s="532">
        <v>1E-4</v>
      </c>
      <c r="C787" s="533">
        <v>1.0420881500000001</v>
      </c>
    </row>
    <row r="788" spans="1:3">
      <c r="A788" s="531">
        <v>44333</v>
      </c>
      <c r="B788" s="532">
        <v>1E-4</v>
      </c>
      <c r="C788" s="533">
        <v>1.0420890199999999</v>
      </c>
    </row>
    <row r="789" spans="1:3">
      <c r="A789" s="531">
        <v>44334</v>
      </c>
      <c r="B789" s="532">
        <v>1E-4</v>
      </c>
      <c r="C789" s="533">
        <v>1.0420893099999999</v>
      </c>
    </row>
    <row r="790" spans="1:3">
      <c r="A790" s="531">
        <v>44335</v>
      </c>
      <c r="B790" s="532">
        <v>1E-4</v>
      </c>
      <c r="C790" s="533">
        <v>1.04208959</v>
      </c>
    </row>
    <row r="791" spans="1:3">
      <c r="A791" s="531">
        <v>44336</v>
      </c>
      <c r="B791" s="532">
        <v>1E-4</v>
      </c>
      <c r="C791" s="533">
        <v>1.04208988</v>
      </c>
    </row>
    <row r="792" spans="1:3">
      <c r="A792" s="531">
        <v>44337</v>
      </c>
      <c r="B792" s="532">
        <v>1E-4</v>
      </c>
      <c r="C792" s="533">
        <v>1.04209017</v>
      </c>
    </row>
    <row r="793" spans="1:3">
      <c r="A793" s="531">
        <v>44340</v>
      </c>
      <c r="B793" s="532">
        <v>1E-4</v>
      </c>
      <c r="C793" s="533">
        <v>1.0420910400000001</v>
      </c>
    </row>
    <row r="794" spans="1:3">
      <c r="A794" s="531">
        <v>44341</v>
      </c>
      <c r="B794" s="532">
        <v>1E-4</v>
      </c>
      <c r="C794" s="533">
        <v>1.0420913300000001</v>
      </c>
    </row>
    <row r="795" spans="1:3">
      <c r="A795" s="531">
        <v>44342</v>
      </c>
      <c r="B795" s="532">
        <v>1E-4</v>
      </c>
      <c r="C795" s="533">
        <v>1.0420916200000001</v>
      </c>
    </row>
    <row r="796" spans="1:3">
      <c r="A796" s="531">
        <v>44343</v>
      </c>
      <c r="B796" s="532">
        <v>1E-4</v>
      </c>
      <c r="C796" s="533">
        <v>1.0420919099999999</v>
      </c>
    </row>
    <row r="797" spans="1:3">
      <c r="A797" s="531">
        <v>44344</v>
      </c>
      <c r="B797" s="532">
        <v>1E-4</v>
      </c>
      <c r="C797" s="533">
        <v>1.0420921999999999</v>
      </c>
    </row>
    <row r="798" spans="1:3">
      <c r="A798" s="531">
        <v>44348</v>
      </c>
      <c r="B798" s="532">
        <v>1E-4</v>
      </c>
      <c r="C798" s="533">
        <v>1.04209336</v>
      </c>
    </row>
    <row r="799" spans="1:3">
      <c r="A799" s="531">
        <v>44349</v>
      </c>
      <c r="B799" s="532">
        <v>1E-4</v>
      </c>
      <c r="C799" s="533">
        <v>1.04209365</v>
      </c>
    </row>
    <row r="800" spans="1:3">
      <c r="A800" s="531">
        <v>44350</v>
      </c>
      <c r="B800" s="532">
        <v>1E-4</v>
      </c>
      <c r="C800" s="533">
        <v>1.04209394</v>
      </c>
    </row>
    <row r="801" spans="1:3">
      <c r="A801" s="531">
        <v>44351</v>
      </c>
      <c r="B801" s="532">
        <v>1E-4</v>
      </c>
      <c r="C801" s="533">
        <v>1.04209423</v>
      </c>
    </row>
    <row r="802" spans="1:3">
      <c r="A802" s="531">
        <v>44354</v>
      </c>
      <c r="B802" s="532">
        <v>1E-4</v>
      </c>
      <c r="C802" s="533">
        <v>1.0420950899999999</v>
      </c>
    </row>
    <row r="803" spans="1:3">
      <c r="A803" s="531">
        <v>44355</v>
      </c>
      <c r="B803" s="532">
        <v>1E-4</v>
      </c>
      <c r="C803" s="533">
        <v>1.0420953799999999</v>
      </c>
    </row>
    <row r="804" spans="1:3">
      <c r="A804" s="531">
        <v>44356</v>
      </c>
      <c r="B804" s="532">
        <v>1E-4</v>
      </c>
      <c r="C804" s="533">
        <v>1.0420956699999999</v>
      </c>
    </row>
    <row r="805" spans="1:3">
      <c r="A805" s="531">
        <v>44357</v>
      </c>
      <c r="B805" s="532">
        <v>1E-4</v>
      </c>
      <c r="C805" s="533">
        <v>1.0420959599999999</v>
      </c>
    </row>
    <row r="806" spans="1:3">
      <c r="A806" s="531">
        <v>44358</v>
      </c>
      <c r="B806" s="532">
        <v>1E-4</v>
      </c>
      <c r="C806" s="533">
        <v>1.0420962499999999</v>
      </c>
    </row>
    <row r="807" spans="1:3">
      <c r="A807" s="531">
        <v>44361</v>
      </c>
      <c r="B807" s="532">
        <v>1E-4</v>
      </c>
      <c r="C807" s="533">
        <v>1.04209712</v>
      </c>
    </row>
    <row r="808" spans="1:3">
      <c r="A808" s="531">
        <v>44362</v>
      </c>
      <c r="B808" s="532">
        <v>1E-4</v>
      </c>
      <c r="C808" s="533">
        <v>1.04209741</v>
      </c>
    </row>
    <row r="809" spans="1:3">
      <c r="A809" s="531">
        <v>44363</v>
      </c>
      <c r="B809" s="532">
        <v>1E-4</v>
      </c>
      <c r="C809" s="533">
        <v>1.0420977</v>
      </c>
    </row>
    <row r="810" spans="1:3">
      <c r="A810" s="531">
        <v>44364</v>
      </c>
      <c r="B810" s="532">
        <v>5.0000000000000001E-4</v>
      </c>
      <c r="C810" s="533">
        <v>1.04209799</v>
      </c>
    </row>
    <row r="811" spans="1:3">
      <c r="A811" s="531">
        <v>44365</v>
      </c>
      <c r="B811" s="532">
        <v>5.0000000000000001E-4</v>
      </c>
      <c r="C811" s="533">
        <v>1.0420994400000001</v>
      </c>
    </row>
    <row r="812" spans="1:3">
      <c r="A812" s="531">
        <v>44368</v>
      </c>
      <c r="B812" s="532">
        <v>5.0000000000000001E-4</v>
      </c>
      <c r="C812" s="533">
        <v>1.0421037799999999</v>
      </c>
    </row>
    <row r="813" spans="1:3">
      <c r="A813" s="531">
        <v>44369</v>
      </c>
      <c r="B813" s="532">
        <v>5.0000000000000001E-4</v>
      </c>
      <c r="C813" s="533">
        <v>1.04210523</v>
      </c>
    </row>
    <row r="814" spans="1:3">
      <c r="A814" s="531">
        <v>44370</v>
      </c>
      <c r="B814" s="532">
        <v>5.0000000000000001E-4</v>
      </c>
      <c r="C814" s="533">
        <v>1.0421066699999999</v>
      </c>
    </row>
    <row r="815" spans="1:3">
      <c r="A815" s="531">
        <v>44371</v>
      </c>
      <c r="B815" s="532">
        <v>5.0000000000000001E-4</v>
      </c>
      <c r="C815" s="533">
        <v>1.04210812</v>
      </c>
    </row>
    <row r="816" spans="1:3">
      <c r="A816" s="531">
        <v>44372</v>
      </c>
      <c r="B816" s="532">
        <v>5.0000000000000001E-4</v>
      </c>
      <c r="C816" s="533">
        <v>1.04210957</v>
      </c>
    </row>
    <row r="817" spans="1:3">
      <c r="A817" s="531">
        <v>44375</v>
      </c>
      <c r="B817" s="532">
        <v>5.0000000000000001E-4</v>
      </c>
      <c r="C817" s="533">
        <v>1.0421139100000001</v>
      </c>
    </row>
    <row r="818" spans="1:3">
      <c r="A818" s="531">
        <v>44376</v>
      </c>
      <c r="B818" s="532">
        <v>5.0000000000000001E-4</v>
      </c>
      <c r="C818" s="533">
        <v>1.0421153599999999</v>
      </c>
    </row>
    <row r="819" spans="1:3">
      <c r="A819" s="531">
        <v>44377</v>
      </c>
      <c r="B819" s="532">
        <v>5.0000000000000001E-4</v>
      </c>
      <c r="C819" s="533">
        <v>1.0421168000000001</v>
      </c>
    </row>
    <row r="820" spans="1:3">
      <c r="A820" s="531">
        <v>44378</v>
      </c>
      <c r="B820" s="532">
        <v>5.0000000000000001E-4</v>
      </c>
      <c r="C820" s="533">
        <v>1.0421182499999999</v>
      </c>
    </row>
    <row r="821" spans="1:3">
      <c r="A821" s="531">
        <v>44379</v>
      </c>
      <c r="B821" s="532">
        <v>5.0000000000000001E-4</v>
      </c>
      <c r="C821" s="533">
        <v>1.0421197</v>
      </c>
    </row>
    <row r="822" spans="1:3">
      <c r="A822" s="531">
        <v>44383</v>
      </c>
      <c r="B822" s="532">
        <v>5.0000000000000001E-4</v>
      </c>
      <c r="C822" s="533">
        <v>1.0421254900000001</v>
      </c>
    </row>
    <row r="823" spans="1:3">
      <c r="A823" s="531">
        <v>44384</v>
      </c>
      <c r="B823" s="532">
        <v>5.0000000000000001E-4</v>
      </c>
      <c r="C823" s="533">
        <v>1.0421269399999999</v>
      </c>
    </row>
    <row r="824" spans="1:3">
      <c r="A824" s="531">
        <v>44385</v>
      </c>
      <c r="B824" s="532">
        <v>5.0000000000000001E-4</v>
      </c>
      <c r="C824" s="533">
        <v>1.0421283800000001</v>
      </c>
    </row>
    <row r="825" spans="1:3">
      <c r="A825" s="531">
        <v>44386</v>
      </c>
      <c r="B825" s="532">
        <v>5.0000000000000001E-4</v>
      </c>
      <c r="C825" s="533">
        <v>1.0421298299999999</v>
      </c>
    </row>
    <row r="826" spans="1:3">
      <c r="A826" s="531">
        <v>44389</v>
      </c>
      <c r="B826" s="532">
        <v>5.0000000000000001E-4</v>
      </c>
      <c r="C826" s="533">
        <v>1.04213417</v>
      </c>
    </row>
    <row r="827" spans="1:3">
      <c r="A827" s="531">
        <v>44390</v>
      </c>
      <c r="B827" s="532">
        <v>5.0000000000000001E-4</v>
      </c>
      <c r="C827" s="533">
        <v>1.04213562</v>
      </c>
    </row>
    <row r="828" spans="1:3">
      <c r="A828" s="531">
        <v>44391</v>
      </c>
      <c r="B828" s="532">
        <v>5.0000000000000001E-4</v>
      </c>
      <c r="C828" s="533">
        <v>1.0421370700000001</v>
      </c>
    </row>
    <row r="829" spans="1:3">
      <c r="A829" s="531">
        <v>44392</v>
      </c>
      <c r="B829" s="532">
        <v>5.0000000000000001E-4</v>
      </c>
      <c r="C829" s="533">
        <v>1.04213852</v>
      </c>
    </row>
    <row r="830" spans="1:3">
      <c r="A830" s="531">
        <v>44393</v>
      </c>
      <c r="B830" s="532">
        <v>5.0000000000000001E-4</v>
      </c>
      <c r="C830" s="533">
        <v>1.0421399600000001</v>
      </c>
    </row>
    <row r="831" spans="1:3">
      <c r="A831" s="531">
        <v>44396</v>
      </c>
      <c r="B831" s="532">
        <v>5.0000000000000001E-4</v>
      </c>
      <c r="C831" s="533">
        <v>1.0421443100000001</v>
      </c>
    </row>
    <row r="832" spans="1:3">
      <c r="A832" s="531">
        <v>44397</v>
      </c>
      <c r="B832" s="532">
        <v>5.0000000000000001E-4</v>
      </c>
      <c r="C832" s="533">
        <v>1.04214575</v>
      </c>
    </row>
    <row r="833" spans="1:3">
      <c r="A833" s="531">
        <v>44398</v>
      </c>
      <c r="B833" s="532">
        <v>5.0000000000000001E-4</v>
      </c>
      <c r="C833" s="533">
        <v>1.0421472000000001</v>
      </c>
    </row>
    <row r="834" spans="1:3">
      <c r="A834" s="531">
        <v>44399</v>
      </c>
      <c r="B834" s="532">
        <v>5.0000000000000001E-4</v>
      </c>
      <c r="C834" s="533">
        <v>1.0421486499999999</v>
      </c>
    </row>
    <row r="835" spans="1:3">
      <c r="A835" s="531">
        <v>44400</v>
      </c>
      <c r="B835" s="532">
        <v>5.0000000000000001E-4</v>
      </c>
      <c r="C835" s="533">
        <v>1.0421501</v>
      </c>
    </row>
    <row r="836" spans="1:3">
      <c r="A836" s="531">
        <v>44403</v>
      </c>
      <c r="B836" s="532">
        <v>5.0000000000000001E-4</v>
      </c>
      <c r="C836" s="533">
        <v>1.04215444</v>
      </c>
    </row>
    <row r="837" spans="1:3">
      <c r="A837" s="531">
        <v>44404</v>
      </c>
      <c r="B837" s="532">
        <v>5.0000000000000001E-4</v>
      </c>
      <c r="C837" s="533">
        <v>1.0421558900000001</v>
      </c>
    </row>
    <row r="838" spans="1:3">
      <c r="A838" s="531">
        <v>44405</v>
      </c>
      <c r="B838" s="532">
        <v>5.0000000000000001E-4</v>
      </c>
      <c r="C838" s="533">
        <v>1.04215733</v>
      </c>
    </row>
    <row r="839" spans="1:3">
      <c r="A839" s="531">
        <v>44406</v>
      </c>
      <c r="B839" s="532">
        <v>5.0000000000000001E-4</v>
      </c>
      <c r="C839" s="533">
        <v>1.0421587800000001</v>
      </c>
    </row>
    <row r="840" spans="1:3">
      <c r="A840" s="531">
        <v>44407</v>
      </c>
      <c r="B840" s="532">
        <v>5.0000000000000001E-4</v>
      </c>
      <c r="C840" s="533">
        <v>1.0421602299999999</v>
      </c>
    </row>
    <row r="841" spans="1:3">
      <c r="A841" s="531">
        <v>44410</v>
      </c>
      <c r="B841" s="532">
        <v>5.0000000000000001E-4</v>
      </c>
      <c r="C841" s="533">
        <v>1.04216457</v>
      </c>
    </row>
    <row r="842" spans="1:3">
      <c r="A842" s="531">
        <v>44411</v>
      </c>
      <c r="B842" s="532">
        <v>5.0000000000000001E-4</v>
      </c>
      <c r="C842" s="533">
        <v>1.04216602</v>
      </c>
    </row>
    <row r="843" spans="1:3">
      <c r="A843" s="531">
        <v>44412</v>
      </c>
      <c r="B843" s="532">
        <v>5.0000000000000001E-4</v>
      </c>
      <c r="C843" s="533">
        <v>1.0421674599999999</v>
      </c>
    </row>
    <row r="844" spans="1:3">
      <c r="A844" s="531">
        <v>44413</v>
      </c>
      <c r="B844" s="532">
        <v>5.0000000000000001E-4</v>
      </c>
      <c r="C844" s="533">
        <v>1.04216891</v>
      </c>
    </row>
    <row r="845" spans="1:3">
      <c r="A845" s="531">
        <v>44414</v>
      </c>
      <c r="B845" s="532">
        <v>5.0000000000000001E-4</v>
      </c>
      <c r="C845" s="533">
        <v>1.0421703600000001</v>
      </c>
    </row>
    <row r="846" spans="1:3">
      <c r="A846" s="531">
        <v>44417</v>
      </c>
      <c r="B846" s="532">
        <v>5.0000000000000001E-4</v>
      </c>
      <c r="C846" s="533">
        <v>1.0421746999999999</v>
      </c>
    </row>
    <row r="847" spans="1:3">
      <c r="A847" s="531">
        <v>44418</v>
      </c>
      <c r="B847" s="532">
        <v>5.0000000000000001E-4</v>
      </c>
      <c r="C847" s="533">
        <v>1.04217615</v>
      </c>
    </row>
    <row r="848" spans="1:3">
      <c r="A848" s="531">
        <v>44419</v>
      </c>
      <c r="B848" s="532">
        <v>5.0000000000000001E-4</v>
      </c>
      <c r="C848" s="533">
        <v>1.0421776</v>
      </c>
    </row>
    <row r="849" spans="1:3">
      <c r="A849" s="531">
        <v>44420</v>
      </c>
      <c r="B849" s="532">
        <v>5.0000000000000001E-4</v>
      </c>
      <c r="C849" s="533">
        <v>1.0421790399999999</v>
      </c>
    </row>
    <row r="850" spans="1:3">
      <c r="A850" s="531">
        <v>44421</v>
      </c>
      <c r="B850" s="532">
        <v>5.0000000000000001E-4</v>
      </c>
      <c r="C850" s="533">
        <v>1.04218049</v>
      </c>
    </row>
    <row r="851" spans="1:3">
      <c r="A851" s="531">
        <v>44424</v>
      </c>
      <c r="B851" s="532">
        <v>5.0000000000000001E-4</v>
      </c>
      <c r="C851" s="533">
        <v>1.0421848300000001</v>
      </c>
    </row>
    <row r="852" spans="1:3">
      <c r="A852" s="531">
        <v>44425</v>
      </c>
      <c r="B852" s="532">
        <v>5.0000000000000001E-4</v>
      </c>
      <c r="C852" s="533">
        <v>1.0421862799999999</v>
      </c>
    </row>
    <row r="853" spans="1:3">
      <c r="A853" s="531">
        <v>44426</v>
      </c>
      <c r="B853" s="532">
        <v>5.0000000000000001E-4</v>
      </c>
      <c r="C853" s="533">
        <v>1.04218773</v>
      </c>
    </row>
    <row r="854" spans="1:3">
      <c r="A854" s="531">
        <v>44427</v>
      </c>
      <c r="B854" s="532">
        <v>5.0000000000000001E-4</v>
      </c>
      <c r="C854" s="533">
        <v>1.04218918</v>
      </c>
    </row>
    <row r="855" spans="1:3">
      <c r="A855" s="531">
        <v>44428</v>
      </c>
      <c r="B855" s="532">
        <v>5.0000000000000001E-4</v>
      </c>
      <c r="C855" s="533">
        <v>1.04219062</v>
      </c>
    </row>
    <row r="856" spans="1:3">
      <c r="A856" s="531">
        <v>44431</v>
      </c>
      <c r="B856" s="532">
        <v>5.0000000000000001E-4</v>
      </c>
      <c r="C856" s="533">
        <v>1.0421949699999999</v>
      </c>
    </row>
    <row r="857" spans="1:3">
      <c r="A857" s="531">
        <v>44432</v>
      </c>
      <c r="B857" s="532">
        <v>5.0000000000000001E-4</v>
      </c>
      <c r="C857" s="533">
        <v>1.0421964100000001</v>
      </c>
    </row>
    <row r="858" spans="1:3">
      <c r="A858" s="531">
        <v>44433</v>
      </c>
      <c r="B858" s="532">
        <v>5.0000000000000001E-4</v>
      </c>
      <c r="C858" s="533">
        <v>1.0421978599999999</v>
      </c>
    </row>
    <row r="859" spans="1:3">
      <c r="A859" s="531">
        <v>44434</v>
      </c>
      <c r="B859" s="532">
        <v>5.0000000000000001E-4</v>
      </c>
      <c r="C859" s="533">
        <v>1.04219931</v>
      </c>
    </row>
    <row r="860" spans="1:3">
      <c r="A860" s="531">
        <v>44435</v>
      </c>
      <c r="B860" s="532">
        <v>5.0000000000000001E-4</v>
      </c>
      <c r="C860" s="533">
        <v>1.0422007600000001</v>
      </c>
    </row>
    <row r="861" spans="1:3">
      <c r="A861" s="531">
        <v>44438</v>
      </c>
      <c r="B861" s="532">
        <v>5.0000000000000001E-4</v>
      </c>
      <c r="C861" s="533">
        <v>1.0422051000000001</v>
      </c>
    </row>
    <row r="862" spans="1:3">
      <c r="A862" s="531">
        <v>44439</v>
      </c>
      <c r="B862" s="532">
        <v>5.0000000000000001E-4</v>
      </c>
      <c r="C862" s="533">
        <v>1.04220655</v>
      </c>
    </row>
    <row r="863" spans="1:3">
      <c r="A863" s="531">
        <v>44440</v>
      </c>
      <c r="B863" s="532">
        <v>5.0000000000000001E-4</v>
      </c>
      <c r="C863" s="533">
        <v>1.0422079900000001</v>
      </c>
    </row>
    <row r="864" spans="1:3">
      <c r="A864" s="531">
        <v>44441</v>
      </c>
      <c r="B864" s="532">
        <v>5.0000000000000001E-4</v>
      </c>
      <c r="C864" s="533">
        <v>1.0422094399999999</v>
      </c>
    </row>
    <row r="865" spans="1:3">
      <c r="A865" s="531">
        <v>44442</v>
      </c>
      <c r="B865" s="532">
        <v>5.0000000000000001E-4</v>
      </c>
      <c r="C865" s="533">
        <v>1.04221089</v>
      </c>
    </row>
    <row r="866" spans="1:3">
      <c r="A866" s="531">
        <v>44446</v>
      </c>
      <c r="B866" s="532">
        <v>5.0000000000000001E-4</v>
      </c>
      <c r="C866" s="533">
        <v>1.0422166799999999</v>
      </c>
    </row>
    <row r="867" spans="1:3">
      <c r="A867" s="531">
        <v>44447</v>
      </c>
      <c r="B867" s="532">
        <v>5.0000000000000001E-4</v>
      </c>
      <c r="C867" s="533">
        <v>1.04221813</v>
      </c>
    </row>
    <row r="868" spans="1:3">
      <c r="A868" s="531">
        <v>44448</v>
      </c>
      <c r="B868" s="532">
        <v>5.0000000000000001E-4</v>
      </c>
      <c r="C868" s="533">
        <v>1.0422195700000001</v>
      </c>
    </row>
    <row r="869" spans="1:3">
      <c r="A869" s="531">
        <v>44449</v>
      </c>
      <c r="B869" s="532">
        <v>5.0000000000000001E-4</v>
      </c>
      <c r="C869" s="533">
        <v>1.0422210199999999</v>
      </c>
    </row>
    <row r="870" spans="1:3">
      <c r="A870" s="531">
        <v>44452</v>
      </c>
      <c r="B870" s="532">
        <v>5.0000000000000001E-4</v>
      </c>
      <c r="C870" s="533">
        <v>1.04222536</v>
      </c>
    </row>
    <row r="871" spans="1:3">
      <c r="A871" s="531">
        <v>44453</v>
      </c>
      <c r="B871" s="532">
        <v>5.0000000000000001E-4</v>
      </c>
      <c r="C871" s="533">
        <v>1.0422268100000001</v>
      </c>
    </row>
    <row r="872" spans="1:3">
      <c r="A872" s="531">
        <v>44454</v>
      </c>
      <c r="B872" s="532">
        <v>5.0000000000000001E-4</v>
      </c>
      <c r="C872" s="533">
        <v>1.0422282599999999</v>
      </c>
    </row>
    <row r="873" spans="1:3">
      <c r="A873" s="531">
        <v>44455</v>
      </c>
      <c r="B873" s="532">
        <v>5.0000000000000001E-4</v>
      </c>
      <c r="C873" s="533">
        <v>1.04222971</v>
      </c>
    </row>
    <row r="874" spans="1:3">
      <c r="A874" s="531">
        <v>44456</v>
      </c>
      <c r="B874" s="532">
        <v>5.0000000000000001E-4</v>
      </c>
      <c r="C874" s="533">
        <v>1.0422311500000001</v>
      </c>
    </row>
    <row r="875" spans="1:3">
      <c r="A875" s="531">
        <v>44459</v>
      </c>
      <c r="B875" s="532">
        <v>5.0000000000000001E-4</v>
      </c>
      <c r="C875" s="533">
        <v>1.0422355000000001</v>
      </c>
    </row>
    <row r="876" spans="1:3">
      <c r="A876" s="531">
        <v>44460</v>
      </c>
      <c r="B876" s="532">
        <v>5.0000000000000001E-4</v>
      </c>
      <c r="C876" s="533">
        <v>1.04223694</v>
      </c>
    </row>
    <row r="877" spans="1:3">
      <c r="A877" s="531">
        <v>44461</v>
      </c>
      <c r="B877" s="532">
        <v>5.0000000000000001E-4</v>
      </c>
      <c r="C877" s="533">
        <v>1.0422383900000001</v>
      </c>
    </row>
    <row r="878" spans="1:3">
      <c r="A878" s="531">
        <v>44462</v>
      </c>
      <c r="B878" s="532">
        <v>5.0000000000000001E-4</v>
      </c>
      <c r="C878" s="533">
        <v>1.0422398399999999</v>
      </c>
    </row>
    <row r="879" spans="1:3">
      <c r="A879" s="531">
        <v>44463</v>
      </c>
      <c r="B879" s="532">
        <v>5.0000000000000001E-4</v>
      </c>
      <c r="C879" s="533">
        <v>1.04224129</v>
      </c>
    </row>
    <row r="880" spans="1:3">
      <c r="A880" s="531">
        <v>44466</v>
      </c>
      <c r="B880" s="532">
        <v>5.0000000000000001E-4</v>
      </c>
      <c r="C880" s="533">
        <v>1.04224563</v>
      </c>
    </row>
    <row r="881" spans="1:3">
      <c r="A881" s="531">
        <v>44467</v>
      </c>
      <c r="B881" s="532">
        <v>5.0000000000000001E-4</v>
      </c>
      <c r="C881" s="533">
        <v>1.0422470800000001</v>
      </c>
    </row>
    <row r="882" spans="1:3">
      <c r="A882" s="531">
        <v>44468</v>
      </c>
      <c r="B882" s="532">
        <v>5.0000000000000001E-4</v>
      </c>
      <c r="C882" s="533">
        <v>1.04224853</v>
      </c>
    </row>
    <row r="883" spans="1:3">
      <c r="A883" s="531">
        <v>44469</v>
      </c>
      <c r="B883" s="532">
        <v>5.0000000000000001E-4</v>
      </c>
      <c r="C883" s="533">
        <v>1.0422499700000001</v>
      </c>
    </row>
    <row r="884" spans="1:3">
      <c r="A884" s="531">
        <v>44470</v>
      </c>
      <c r="B884" s="532">
        <v>5.0000000000000001E-4</v>
      </c>
      <c r="C884" s="533">
        <v>1.0422514199999999</v>
      </c>
    </row>
    <row r="885" spans="1:3">
      <c r="A885" s="531">
        <v>44473</v>
      </c>
      <c r="B885" s="532">
        <v>5.0000000000000001E-4</v>
      </c>
      <c r="C885" s="533">
        <v>1.04225576</v>
      </c>
    </row>
    <row r="886" spans="1:3">
      <c r="A886" s="531">
        <v>44474</v>
      </c>
      <c r="B886" s="532">
        <v>5.0000000000000001E-4</v>
      </c>
      <c r="C886" s="533">
        <v>1.04225721</v>
      </c>
    </row>
    <row r="887" spans="1:3">
      <c r="A887" s="531">
        <v>44475</v>
      </c>
      <c r="B887" s="532">
        <v>5.0000000000000001E-4</v>
      </c>
      <c r="C887" s="533">
        <v>1.0422586599999999</v>
      </c>
    </row>
    <row r="888" spans="1:3">
      <c r="A888" s="531">
        <v>44476</v>
      </c>
      <c r="B888" s="532">
        <v>5.0000000000000001E-4</v>
      </c>
      <c r="C888" s="533">
        <v>1.04226011</v>
      </c>
    </row>
    <row r="889" spans="1:3">
      <c r="A889" s="531">
        <v>44477</v>
      </c>
      <c r="B889" s="532">
        <v>5.0000000000000001E-4</v>
      </c>
      <c r="C889" s="533">
        <v>1.0422615500000001</v>
      </c>
    </row>
    <row r="890" spans="1:3">
      <c r="A890" s="531">
        <v>44481</v>
      </c>
      <c r="B890" s="532">
        <v>5.0000000000000001E-4</v>
      </c>
      <c r="C890" s="533">
        <v>1.04226734</v>
      </c>
    </row>
    <row r="891" spans="1:3">
      <c r="A891" s="531">
        <v>44482</v>
      </c>
      <c r="B891" s="532">
        <v>5.0000000000000001E-4</v>
      </c>
      <c r="C891" s="533">
        <v>1.0422687900000001</v>
      </c>
    </row>
    <row r="892" spans="1:3">
      <c r="A892" s="531">
        <v>44483</v>
      </c>
      <c r="B892" s="532">
        <v>5.0000000000000001E-4</v>
      </c>
      <c r="C892" s="533">
        <v>1.0422702399999999</v>
      </c>
    </row>
    <row r="893" spans="1:3">
      <c r="A893" s="531">
        <v>44484</v>
      </c>
      <c r="B893" s="532">
        <v>5.0000000000000001E-4</v>
      </c>
      <c r="C893" s="533">
        <v>1.04227169</v>
      </c>
    </row>
    <row r="894" spans="1:3">
      <c r="A894" s="531">
        <v>44487</v>
      </c>
      <c r="B894" s="532">
        <v>5.0000000000000001E-4</v>
      </c>
      <c r="C894" s="533">
        <v>1.04227603</v>
      </c>
    </row>
    <row r="895" spans="1:3">
      <c r="A895" s="531">
        <v>44488</v>
      </c>
      <c r="B895" s="532">
        <v>2.9999999999999997E-4</v>
      </c>
      <c r="C895" s="533">
        <v>1.0422774800000001</v>
      </c>
    </row>
    <row r="896" spans="1:3">
      <c r="A896" s="531">
        <v>44489</v>
      </c>
      <c r="B896" s="532">
        <v>2.9999999999999997E-4</v>
      </c>
      <c r="C896" s="533">
        <v>1.0422783499999999</v>
      </c>
    </row>
    <row r="897" spans="1:3">
      <c r="A897" s="531">
        <v>44490</v>
      </c>
      <c r="B897" s="532">
        <v>2.9999999999999997E-4</v>
      </c>
      <c r="C897" s="533">
        <v>1.04227921</v>
      </c>
    </row>
    <row r="898" spans="1:3">
      <c r="A898" s="531">
        <v>44491</v>
      </c>
      <c r="B898" s="532">
        <v>5.0000000000000001E-4</v>
      </c>
      <c r="C898" s="533">
        <v>1.0422800800000001</v>
      </c>
    </row>
    <row r="899" spans="1:3">
      <c r="A899" s="531">
        <v>44494</v>
      </c>
      <c r="B899" s="532">
        <v>4.0000000000000002E-4</v>
      </c>
      <c r="C899" s="533">
        <v>1.04228443</v>
      </c>
    </row>
    <row r="900" spans="1:3">
      <c r="A900" s="531">
        <v>44495</v>
      </c>
      <c r="B900" s="532">
        <v>5.0000000000000001E-4</v>
      </c>
      <c r="C900" s="533">
        <v>1.0422855799999999</v>
      </c>
    </row>
    <row r="901" spans="1:3">
      <c r="A901" s="531">
        <v>44496</v>
      </c>
      <c r="B901" s="532">
        <v>5.0000000000000001E-4</v>
      </c>
      <c r="C901" s="533">
        <v>1.04228703</v>
      </c>
    </row>
    <row r="902" spans="1:3">
      <c r="A902" s="531">
        <v>44497</v>
      </c>
      <c r="B902" s="532">
        <v>5.0000000000000001E-4</v>
      </c>
      <c r="C902" s="533">
        <v>1.0422884800000001</v>
      </c>
    </row>
    <row r="903" spans="1:3">
      <c r="A903" s="531">
        <v>44498</v>
      </c>
      <c r="B903" s="532">
        <v>5.0000000000000001E-4</v>
      </c>
      <c r="C903" s="533">
        <v>1.0422899299999999</v>
      </c>
    </row>
    <row r="904" spans="1:3">
      <c r="A904" s="531">
        <v>44501</v>
      </c>
      <c r="B904" s="532">
        <v>5.0000000000000001E-4</v>
      </c>
      <c r="C904" s="533">
        <v>1.04229427</v>
      </c>
    </row>
    <row r="905" spans="1:3">
      <c r="A905" s="531">
        <v>44502</v>
      </c>
      <c r="B905" s="532">
        <v>5.0000000000000001E-4</v>
      </c>
      <c r="C905" s="533">
        <v>1.04229572</v>
      </c>
    </row>
    <row r="906" spans="1:3">
      <c r="A906" s="531">
        <v>44503</v>
      </c>
      <c r="B906" s="532">
        <v>5.0000000000000001E-4</v>
      </c>
      <c r="C906" s="533">
        <v>1.0422971599999999</v>
      </c>
    </row>
    <row r="907" spans="1:3">
      <c r="A907" s="531">
        <v>44504</v>
      </c>
      <c r="B907" s="532">
        <v>5.0000000000000001E-4</v>
      </c>
      <c r="C907" s="533">
        <v>1.04229861</v>
      </c>
    </row>
    <row r="908" spans="1:3">
      <c r="A908" s="531">
        <v>44505</v>
      </c>
      <c r="B908" s="532">
        <v>5.0000000000000001E-4</v>
      </c>
      <c r="C908" s="533">
        <v>1.0423000600000001</v>
      </c>
    </row>
    <row r="909" spans="1:3">
      <c r="A909" s="531">
        <v>44508</v>
      </c>
      <c r="B909" s="532">
        <v>5.0000000000000001E-4</v>
      </c>
      <c r="C909" s="533">
        <v>1.0423043999999999</v>
      </c>
    </row>
    <row r="910" spans="1:3">
      <c r="A910" s="531">
        <v>44509</v>
      </c>
      <c r="B910" s="532">
        <v>5.0000000000000001E-4</v>
      </c>
      <c r="C910" s="533">
        <v>1.04230585</v>
      </c>
    </row>
    <row r="911" spans="1:3">
      <c r="A911" s="531">
        <v>44510</v>
      </c>
      <c r="B911" s="532">
        <v>5.0000000000000001E-4</v>
      </c>
      <c r="C911" s="533">
        <v>1.0423073</v>
      </c>
    </row>
    <row r="912" spans="1:3">
      <c r="A912" s="531">
        <v>44512</v>
      </c>
      <c r="B912" s="532">
        <v>5.0000000000000001E-4</v>
      </c>
      <c r="C912" s="533">
        <v>1.04231019</v>
      </c>
    </row>
    <row r="913" spans="1:3">
      <c r="A913" s="531">
        <v>44515</v>
      </c>
      <c r="B913" s="532">
        <v>5.0000000000000001E-4</v>
      </c>
      <c r="C913" s="533">
        <v>1.04231454</v>
      </c>
    </row>
    <row r="914" spans="1:3">
      <c r="A914" s="531">
        <v>44516</v>
      </c>
      <c r="B914" s="532">
        <v>5.0000000000000001E-4</v>
      </c>
      <c r="C914" s="533">
        <v>1.0423159799999999</v>
      </c>
    </row>
    <row r="915" spans="1:3">
      <c r="A915" s="531">
        <v>44517</v>
      </c>
      <c r="B915" s="532">
        <v>5.0000000000000001E-4</v>
      </c>
      <c r="C915" s="533">
        <v>1.04231743</v>
      </c>
    </row>
    <row r="916" spans="1:3">
      <c r="A916" s="531">
        <v>44518</v>
      </c>
      <c r="B916" s="532">
        <v>5.0000000000000001E-4</v>
      </c>
      <c r="C916" s="533">
        <v>1.0423188800000001</v>
      </c>
    </row>
    <row r="917" spans="1:3">
      <c r="A917" s="531">
        <v>44519</v>
      </c>
      <c r="B917" s="532">
        <v>5.0000000000000001E-4</v>
      </c>
      <c r="C917" s="533">
        <v>1.0423203299999999</v>
      </c>
    </row>
    <row r="918" spans="1:3">
      <c r="A918" s="531">
        <v>44522</v>
      </c>
      <c r="B918" s="532">
        <v>5.0000000000000001E-4</v>
      </c>
      <c r="C918" s="533">
        <v>1.04232467</v>
      </c>
    </row>
    <row r="919" spans="1:3">
      <c r="A919" s="531">
        <v>44523</v>
      </c>
      <c r="B919" s="532">
        <v>5.0000000000000001E-4</v>
      </c>
      <c r="C919" s="533">
        <v>1.04232612</v>
      </c>
    </row>
    <row r="920" spans="1:3">
      <c r="A920" s="531">
        <v>44524</v>
      </c>
      <c r="B920" s="532">
        <v>5.0000000000000001E-4</v>
      </c>
      <c r="C920" s="533">
        <v>1.0423275700000001</v>
      </c>
    </row>
    <row r="921" spans="1:3">
      <c r="A921" s="531">
        <v>44526</v>
      </c>
      <c r="B921" s="532">
        <v>5.0000000000000001E-4</v>
      </c>
      <c r="C921" s="533">
        <v>1.0423304600000001</v>
      </c>
    </row>
    <row r="922" spans="1:3">
      <c r="A922" s="531">
        <v>44529</v>
      </c>
      <c r="B922" s="532">
        <v>5.0000000000000001E-4</v>
      </c>
      <c r="C922" s="533">
        <v>1.0423347999999999</v>
      </c>
    </row>
    <row r="923" spans="1:3">
      <c r="A923" s="531">
        <v>44530</v>
      </c>
      <c r="B923" s="532">
        <v>5.0000000000000001E-4</v>
      </c>
      <c r="C923" s="533">
        <v>1.04233625</v>
      </c>
    </row>
    <row r="924" spans="1:3">
      <c r="A924" s="531">
        <v>44531</v>
      </c>
      <c r="B924" s="532">
        <v>5.0000000000000001E-4</v>
      </c>
      <c r="C924" s="533">
        <v>1.0423377</v>
      </c>
    </row>
    <row r="925" spans="1:3">
      <c r="A925" s="531">
        <v>44532</v>
      </c>
      <c r="B925" s="532">
        <v>5.0000000000000001E-4</v>
      </c>
      <c r="C925" s="533">
        <v>1.0423391500000001</v>
      </c>
    </row>
    <row r="926" spans="1:3">
      <c r="A926" s="531">
        <v>44533</v>
      </c>
      <c r="B926" s="532">
        <v>5.0000000000000001E-4</v>
      </c>
      <c r="C926" s="533">
        <v>1.04234059</v>
      </c>
    </row>
    <row r="927" spans="1:3">
      <c r="A927" s="531">
        <v>44536</v>
      </c>
      <c r="B927" s="532">
        <v>5.0000000000000001E-4</v>
      </c>
      <c r="C927" s="533">
        <v>1.04234494</v>
      </c>
    </row>
    <row r="928" spans="1:3">
      <c r="A928" s="531">
        <v>44537</v>
      </c>
      <c r="B928" s="532">
        <v>5.0000000000000001E-4</v>
      </c>
      <c r="C928" s="533">
        <v>1.0423463900000001</v>
      </c>
    </row>
    <row r="929" spans="1:3">
      <c r="A929" s="531">
        <v>44538</v>
      </c>
      <c r="B929" s="532">
        <v>5.0000000000000001E-4</v>
      </c>
      <c r="C929" s="533">
        <v>1.04234783</v>
      </c>
    </row>
    <row r="930" spans="1:3">
      <c r="A930" s="531">
        <v>44539</v>
      </c>
      <c r="B930" s="532">
        <v>5.0000000000000001E-4</v>
      </c>
      <c r="C930" s="533">
        <v>1.04234928</v>
      </c>
    </row>
    <row r="931" spans="1:3">
      <c r="A931" s="531">
        <v>44540</v>
      </c>
      <c r="B931" s="532">
        <v>5.0000000000000001E-4</v>
      </c>
      <c r="C931" s="533">
        <v>1.0423507299999999</v>
      </c>
    </row>
    <row r="932" spans="1:3">
      <c r="A932" s="531">
        <v>44543</v>
      </c>
      <c r="B932" s="532">
        <v>5.0000000000000001E-4</v>
      </c>
      <c r="C932" s="533">
        <v>1.0423550699999999</v>
      </c>
    </row>
    <row r="933" spans="1:3">
      <c r="A933" s="531">
        <v>44544</v>
      </c>
      <c r="B933" s="532">
        <v>5.0000000000000001E-4</v>
      </c>
      <c r="C933" s="533">
        <v>1.04235652</v>
      </c>
    </row>
    <row r="934" spans="1:3">
      <c r="A934" s="531">
        <v>44545</v>
      </c>
      <c r="B934" s="532">
        <v>5.0000000000000001E-4</v>
      </c>
      <c r="C934" s="533">
        <v>1.0423579700000001</v>
      </c>
    </row>
    <row r="935" spans="1:3">
      <c r="A935" s="531">
        <v>44546</v>
      </c>
      <c r="B935" s="532">
        <v>5.0000000000000001E-4</v>
      </c>
      <c r="C935" s="533">
        <v>1.04235941</v>
      </c>
    </row>
    <row r="936" spans="1:3">
      <c r="A936" s="531">
        <v>44547</v>
      </c>
      <c r="B936" s="532">
        <v>5.0000000000000001E-4</v>
      </c>
      <c r="C936" s="533">
        <v>1.0423608600000001</v>
      </c>
    </row>
    <row r="937" spans="1:3">
      <c r="A937" s="531">
        <v>44550</v>
      </c>
      <c r="B937" s="532">
        <v>4.0000000000000002E-4</v>
      </c>
      <c r="C937" s="533">
        <v>1.04236521</v>
      </c>
    </row>
    <row r="938" spans="1:3">
      <c r="A938" s="531">
        <v>44551</v>
      </c>
      <c r="B938" s="532">
        <v>5.0000000000000001E-4</v>
      </c>
      <c r="C938" s="533">
        <v>1.0423663599999999</v>
      </c>
    </row>
    <row r="939" spans="1:3">
      <c r="A939" s="531">
        <v>44552</v>
      </c>
      <c r="B939" s="532">
        <v>5.0000000000000001E-4</v>
      </c>
      <c r="C939" s="533">
        <v>1.04236781</v>
      </c>
    </row>
    <row r="940" spans="1:3">
      <c r="A940" s="531">
        <v>44553</v>
      </c>
      <c r="B940" s="532">
        <v>5.0000000000000001E-4</v>
      </c>
      <c r="C940" s="533">
        <v>1.0423692600000001</v>
      </c>
    </row>
    <row r="941" spans="1:3">
      <c r="A941" s="531">
        <v>44557</v>
      </c>
      <c r="B941" s="532">
        <v>5.0000000000000001E-4</v>
      </c>
      <c r="C941" s="533">
        <v>1.04237505</v>
      </c>
    </row>
    <row r="942" spans="1:3">
      <c r="A942" s="531">
        <v>44558</v>
      </c>
      <c r="B942" s="532">
        <v>5.0000000000000001E-4</v>
      </c>
      <c r="C942" s="533">
        <v>1.0423765</v>
      </c>
    </row>
    <row r="943" spans="1:3">
      <c r="A943" s="531">
        <v>44559</v>
      </c>
      <c r="B943" s="532">
        <v>5.0000000000000001E-4</v>
      </c>
      <c r="C943" s="533">
        <v>1.0423779500000001</v>
      </c>
    </row>
    <row r="944" spans="1:3">
      <c r="A944" s="531">
        <v>44560</v>
      </c>
      <c r="B944" s="532">
        <v>5.0000000000000001E-4</v>
      </c>
      <c r="C944" s="533">
        <v>1.04237939</v>
      </c>
    </row>
    <row r="945" spans="1:3">
      <c r="A945" s="531">
        <v>44561</v>
      </c>
      <c r="B945" s="532">
        <v>5.0000000000000001E-4</v>
      </c>
      <c r="C945" s="533">
        <v>1.0423808400000001</v>
      </c>
    </row>
    <row r="946" spans="1:3">
      <c r="A946" s="531">
        <v>44564</v>
      </c>
      <c r="B946" s="532">
        <v>5.0000000000000001E-4</v>
      </c>
      <c r="C946" s="533">
        <v>1.0423851799999999</v>
      </c>
    </row>
    <row r="947" spans="1:3">
      <c r="A947" s="531">
        <v>44565</v>
      </c>
      <c r="B947" s="532">
        <v>5.0000000000000001E-4</v>
      </c>
      <c r="C947" s="533">
        <v>1.04238663</v>
      </c>
    </row>
    <row r="948" spans="1:3">
      <c r="A948" s="531">
        <v>44566</v>
      </c>
      <c r="B948" s="532">
        <v>5.0000000000000001E-4</v>
      </c>
      <c r="C948" s="533">
        <v>1.0423880800000001</v>
      </c>
    </row>
    <row r="949" spans="1:3">
      <c r="A949" s="531">
        <v>44567</v>
      </c>
      <c r="B949" s="532">
        <v>5.0000000000000001E-4</v>
      </c>
      <c r="C949" s="533">
        <v>1.0423895299999999</v>
      </c>
    </row>
    <row r="950" spans="1:3">
      <c r="A950" s="531">
        <v>44568</v>
      </c>
      <c r="B950" s="532">
        <v>5.0000000000000001E-4</v>
      </c>
      <c r="C950" s="533">
        <v>1.04239098</v>
      </c>
    </row>
    <row r="951" spans="1:3">
      <c r="A951" s="531">
        <v>44571</v>
      </c>
      <c r="B951" s="532">
        <v>5.0000000000000001E-4</v>
      </c>
      <c r="C951" s="533">
        <v>1.04239532</v>
      </c>
    </row>
    <row r="952" spans="1:3">
      <c r="A952" s="531">
        <v>44572</v>
      </c>
      <c r="B952" s="532">
        <v>5.0000000000000001E-4</v>
      </c>
      <c r="C952" s="533">
        <v>1.0423967700000001</v>
      </c>
    </row>
    <row r="953" spans="1:3">
      <c r="A953" s="531">
        <v>44573</v>
      </c>
      <c r="B953" s="532">
        <v>5.0000000000000001E-4</v>
      </c>
      <c r="C953" s="533">
        <v>1.04239821</v>
      </c>
    </row>
    <row r="954" spans="1:3">
      <c r="A954" s="531">
        <v>44574</v>
      </c>
      <c r="B954" s="532">
        <v>5.0000000000000001E-4</v>
      </c>
      <c r="C954" s="533">
        <v>1.0423996600000001</v>
      </c>
    </row>
    <row r="955" spans="1:3">
      <c r="A955" s="531">
        <v>44575</v>
      </c>
      <c r="B955" s="532">
        <v>5.0000000000000001E-4</v>
      </c>
      <c r="C955" s="533">
        <v>1.0424011099999999</v>
      </c>
    </row>
    <row r="956" spans="1:3">
      <c r="A956" s="531">
        <v>44579</v>
      </c>
      <c r="B956" s="532">
        <v>5.0000000000000001E-4</v>
      </c>
      <c r="C956" s="533">
        <v>1.0424069</v>
      </c>
    </row>
    <row r="957" spans="1:3">
      <c r="A957" s="531">
        <v>44580</v>
      </c>
      <c r="B957" s="532">
        <v>5.0000000000000001E-4</v>
      </c>
      <c r="C957" s="533">
        <v>1.0424083500000001</v>
      </c>
    </row>
    <row r="958" spans="1:3">
      <c r="A958" s="531">
        <v>44581</v>
      </c>
      <c r="B958" s="532">
        <v>4.0000000000000002E-4</v>
      </c>
      <c r="C958" s="533">
        <v>1.0424097999999999</v>
      </c>
    </row>
    <row r="959" spans="1:3">
      <c r="A959" s="531">
        <v>44582</v>
      </c>
      <c r="B959" s="532">
        <v>5.0000000000000001E-4</v>
      </c>
      <c r="C959" s="533">
        <v>1.0424109500000001</v>
      </c>
    </row>
    <row r="960" spans="1:3">
      <c r="A960" s="531">
        <v>44585</v>
      </c>
      <c r="B960" s="532">
        <v>4.0000000000000002E-4</v>
      </c>
      <c r="C960" s="533">
        <v>1.0424153</v>
      </c>
    </row>
    <row r="961" spans="1:3">
      <c r="A961" s="531">
        <v>44586</v>
      </c>
      <c r="B961" s="532">
        <v>5.0000000000000001E-4</v>
      </c>
      <c r="C961" s="533">
        <v>1.0424164600000001</v>
      </c>
    </row>
    <row r="962" spans="1:3">
      <c r="A962" s="531">
        <v>44587</v>
      </c>
      <c r="B962" s="532">
        <v>4.0000000000000002E-4</v>
      </c>
      <c r="C962" s="533">
        <v>1.0424179</v>
      </c>
    </row>
    <row r="963" spans="1:3">
      <c r="A963" s="531">
        <v>44588</v>
      </c>
      <c r="B963" s="532">
        <v>4.0000000000000002E-4</v>
      </c>
      <c r="C963" s="533">
        <v>1.0424190600000001</v>
      </c>
    </row>
    <row r="964" spans="1:3">
      <c r="A964" s="531">
        <v>44589</v>
      </c>
      <c r="B964" s="532">
        <v>5.0000000000000001E-4</v>
      </c>
      <c r="C964" s="533">
        <v>1.0424202199999999</v>
      </c>
    </row>
    <row r="965" spans="1:3">
      <c r="A965" s="531">
        <v>44592</v>
      </c>
      <c r="B965" s="532">
        <v>5.0000000000000001E-4</v>
      </c>
      <c r="C965" s="533">
        <v>1.0424245599999999</v>
      </c>
    </row>
    <row r="966" spans="1:3">
      <c r="A966" s="531">
        <v>44593</v>
      </c>
      <c r="B966" s="532">
        <v>5.0000000000000001E-4</v>
      </c>
      <c r="C966" s="533">
        <v>1.04242601</v>
      </c>
    </row>
    <row r="967" spans="1:3">
      <c r="A967" s="531">
        <v>44594</v>
      </c>
      <c r="B967" s="532">
        <v>5.0000000000000001E-4</v>
      </c>
      <c r="C967" s="533">
        <v>1.0424274600000001</v>
      </c>
    </row>
    <row r="968" spans="1:3">
      <c r="A968" s="531">
        <v>44595</v>
      </c>
      <c r="B968" s="532">
        <v>5.0000000000000001E-4</v>
      </c>
      <c r="C968" s="533">
        <v>1.0424289099999999</v>
      </c>
    </row>
    <row r="969" spans="1:3">
      <c r="A969" s="531">
        <v>44596</v>
      </c>
      <c r="B969" s="532">
        <v>5.0000000000000001E-4</v>
      </c>
      <c r="C969" s="533">
        <v>1.04243036</v>
      </c>
    </row>
    <row r="970" spans="1:3">
      <c r="A970" s="531">
        <v>44599</v>
      </c>
      <c r="B970" s="532">
        <v>5.0000000000000001E-4</v>
      </c>
      <c r="C970" s="533">
        <v>1.0424347</v>
      </c>
    </row>
    <row r="971" spans="1:3">
      <c r="A971" s="531">
        <v>44600</v>
      </c>
      <c r="B971" s="532">
        <v>5.0000000000000001E-4</v>
      </c>
      <c r="C971" s="533">
        <v>1.0424361499999999</v>
      </c>
    </row>
    <row r="972" spans="1:3">
      <c r="A972" s="531">
        <v>44601</v>
      </c>
      <c r="B972" s="532">
        <v>4.0000000000000002E-4</v>
      </c>
      <c r="C972" s="533">
        <v>1.04243759</v>
      </c>
    </row>
    <row r="973" spans="1:3">
      <c r="A973" s="531">
        <v>44602</v>
      </c>
      <c r="B973" s="532">
        <v>5.0000000000000001E-4</v>
      </c>
      <c r="C973" s="533">
        <v>1.0424387500000001</v>
      </c>
    </row>
    <row r="974" spans="1:3">
      <c r="A974" s="531">
        <v>44603</v>
      </c>
      <c r="B974" s="532">
        <v>5.0000000000000001E-4</v>
      </c>
      <c r="C974" s="533">
        <v>1.0424401999999999</v>
      </c>
    </row>
    <row r="975" spans="1:3">
      <c r="A975" s="531">
        <v>44606</v>
      </c>
      <c r="B975" s="532">
        <v>5.0000000000000001E-4</v>
      </c>
      <c r="C975" s="533">
        <v>1.04244454</v>
      </c>
    </row>
    <row r="976" spans="1:3">
      <c r="A976" s="531">
        <v>44607</v>
      </c>
      <c r="B976" s="532">
        <v>5.0000000000000001E-4</v>
      </c>
      <c r="C976" s="533">
        <v>1.04244599</v>
      </c>
    </row>
    <row r="977" spans="1:3">
      <c r="A977" s="531">
        <v>44608</v>
      </c>
      <c r="B977" s="532">
        <v>5.0000000000000001E-4</v>
      </c>
      <c r="C977" s="533">
        <v>1.0424474399999999</v>
      </c>
    </row>
    <row r="978" spans="1:3">
      <c r="A978" s="531">
        <v>44609</v>
      </c>
      <c r="B978" s="532">
        <v>5.0000000000000001E-4</v>
      </c>
      <c r="C978" s="533">
        <v>1.04244889</v>
      </c>
    </row>
    <row r="979" spans="1:3">
      <c r="A979" s="531">
        <v>44610</v>
      </c>
      <c r="B979" s="532">
        <v>5.0000000000000001E-4</v>
      </c>
      <c r="C979" s="533">
        <v>1.04245034</v>
      </c>
    </row>
    <row r="980" spans="1:3">
      <c r="A980" s="531">
        <v>44614</v>
      </c>
      <c r="B980" s="532">
        <v>5.0000000000000001E-4</v>
      </c>
      <c r="C980" s="533">
        <v>1.0424561299999999</v>
      </c>
    </row>
    <row r="981" spans="1:3">
      <c r="A981" s="531">
        <v>44615</v>
      </c>
      <c r="B981" s="532">
        <v>5.0000000000000001E-4</v>
      </c>
      <c r="C981" s="533">
        <v>1.0424575700000001</v>
      </c>
    </row>
    <row r="982" spans="1:3">
      <c r="A982" s="531">
        <v>44616</v>
      </c>
      <c r="B982" s="532">
        <v>5.0000000000000001E-4</v>
      </c>
      <c r="C982" s="533">
        <v>1.0424590199999999</v>
      </c>
    </row>
    <row r="983" spans="1:3">
      <c r="A983" s="531">
        <v>44617</v>
      </c>
      <c r="B983" s="532">
        <v>5.0000000000000001E-4</v>
      </c>
      <c r="C983" s="533">
        <v>1.04246047</v>
      </c>
    </row>
    <row r="984" spans="1:3">
      <c r="A984" s="531">
        <v>44620</v>
      </c>
      <c r="B984" s="532">
        <v>5.0000000000000001E-4</v>
      </c>
      <c r="C984" s="533">
        <v>1.04246481</v>
      </c>
    </row>
    <row r="985" spans="1:3">
      <c r="A985" s="531">
        <v>44621</v>
      </c>
      <c r="B985" s="532">
        <v>5.0000000000000001E-4</v>
      </c>
      <c r="C985" s="533">
        <v>1.0424662600000001</v>
      </c>
    </row>
    <row r="986" spans="1:3">
      <c r="A986" s="531">
        <v>44622</v>
      </c>
      <c r="B986" s="532">
        <v>5.0000000000000001E-4</v>
      </c>
      <c r="C986" s="533">
        <v>1.0424677099999999</v>
      </c>
    </row>
    <row r="987" spans="1:3">
      <c r="A987" s="531">
        <v>44623</v>
      </c>
      <c r="B987" s="532">
        <v>5.0000000000000001E-4</v>
      </c>
      <c r="C987" s="533">
        <v>1.04246916</v>
      </c>
    </row>
    <row r="988" spans="1:3">
      <c r="A988" s="531">
        <v>44624</v>
      </c>
      <c r="B988" s="532">
        <v>5.0000000000000001E-4</v>
      </c>
      <c r="C988" s="533">
        <v>1.0424706100000001</v>
      </c>
    </row>
    <row r="989" spans="1:3">
      <c r="A989" s="531">
        <v>44627</v>
      </c>
      <c r="B989" s="532">
        <v>5.0000000000000001E-4</v>
      </c>
      <c r="C989" s="533">
        <v>1.0424749499999999</v>
      </c>
    </row>
    <row r="990" spans="1:3">
      <c r="A990" s="531">
        <v>44628</v>
      </c>
      <c r="B990" s="532">
        <v>5.0000000000000001E-4</v>
      </c>
      <c r="C990" s="533">
        <v>1.0424764</v>
      </c>
    </row>
    <row r="991" spans="1:3">
      <c r="A991" s="531">
        <v>44629</v>
      </c>
      <c r="B991" s="532">
        <v>5.0000000000000001E-4</v>
      </c>
      <c r="C991" s="533">
        <v>1.0424778400000001</v>
      </c>
    </row>
    <row r="992" spans="1:3">
      <c r="A992" s="531">
        <v>44630</v>
      </c>
      <c r="B992" s="532">
        <v>5.0000000000000001E-4</v>
      </c>
      <c r="C992" s="533">
        <v>1.0424792899999999</v>
      </c>
    </row>
    <row r="993" spans="1:3">
      <c r="A993" s="531">
        <v>44631</v>
      </c>
      <c r="B993" s="532">
        <v>5.0000000000000001E-4</v>
      </c>
      <c r="C993" s="533">
        <v>1.04248074</v>
      </c>
    </row>
    <row r="994" spans="1:3">
      <c r="A994" s="531">
        <v>44634</v>
      </c>
      <c r="B994" s="532">
        <v>5.0000000000000001E-4</v>
      </c>
      <c r="C994" s="533">
        <v>1.0424850800000001</v>
      </c>
    </row>
    <row r="995" spans="1:3">
      <c r="A995" s="531">
        <v>44635</v>
      </c>
      <c r="B995" s="532">
        <v>5.0000000000000001E-4</v>
      </c>
      <c r="C995" s="533">
        <v>1.0424865299999999</v>
      </c>
    </row>
    <row r="996" spans="1:3">
      <c r="A996" s="531">
        <v>44636</v>
      </c>
      <c r="B996" s="532">
        <v>5.0000000000000001E-4</v>
      </c>
      <c r="C996" s="533">
        <v>1.04248798</v>
      </c>
    </row>
    <row r="997" spans="1:3">
      <c r="A997" s="531">
        <v>44637</v>
      </c>
      <c r="B997" s="532">
        <v>3.0000000000000001E-3</v>
      </c>
      <c r="C997" s="533">
        <v>1.0424894300000001</v>
      </c>
    </row>
    <row r="998" spans="1:3">
      <c r="A998" s="531">
        <v>44638</v>
      </c>
      <c r="B998" s="532">
        <v>3.0000000000000001E-3</v>
      </c>
      <c r="C998" s="533">
        <v>1.0424981200000001</v>
      </c>
    </row>
    <row r="999" spans="1:3">
      <c r="A999" s="531">
        <v>44641</v>
      </c>
      <c r="B999" s="532">
        <v>2.8999999999999998E-3</v>
      </c>
      <c r="C999" s="533">
        <v>1.04252418</v>
      </c>
    </row>
    <row r="1000" spans="1:3">
      <c r="A1000" s="531">
        <v>44642</v>
      </c>
      <c r="B1000" s="532">
        <v>2.8000000000000004E-3</v>
      </c>
      <c r="C1000" s="533">
        <v>1.04253258</v>
      </c>
    </row>
    <row r="1001" spans="1:3">
      <c r="A1001" s="531">
        <v>44643</v>
      </c>
      <c r="B1001" s="532">
        <v>2.7000000000000001E-3</v>
      </c>
      <c r="C1001" s="533">
        <v>1.0425406800000001</v>
      </c>
    </row>
    <row r="1002" spans="1:3">
      <c r="A1002" s="531">
        <v>44644</v>
      </c>
      <c r="B1002" s="532">
        <v>2.7000000000000001E-3</v>
      </c>
      <c r="C1002" s="533">
        <v>1.0425485000000001</v>
      </c>
    </row>
    <row r="1003" spans="1:3">
      <c r="A1003" s="531">
        <v>44645</v>
      </c>
      <c r="B1003" s="532">
        <v>2.8000000000000004E-3</v>
      </c>
      <c r="C1003" s="533">
        <v>1.0425563200000001</v>
      </c>
    </row>
    <row r="1004" spans="1:3">
      <c r="A1004" s="531">
        <v>44648</v>
      </c>
      <c r="B1004" s="532">
        <v>2.8000000000000004E-3</v>
      </c>
      <c r="C1004" s="533">
        <v>1.0425806500000001</v>
      </c>
    </row>
    <row r="1005" spans="1:3">
      <c r="A1005" s="531">
        <v>44649</v>
      </c>
      <c r="B1005" s="532">
        <v>2.8000000000000004E-3</v>
      </c>
      <c r="C1005" s="533">
        <v>1.0425887599999999</v>
      </c>
    </row>
    <row r="1006" spans="1:3">
      <c r="A1006" s="531">
        <v>44650</v>
      </c>
      <c r="B1006" s="532">
        <v>2.7000000000000001E-3</v>
      </c>
      <c r="C1006" s="533">
        <v>1.0425968699999999</v>
      </c>
    </row>
    <row r="1007" spans="1:3">
      <c r="A1007" s="531">
        <v>44651</v>
      </c>
      <c r="B1007" s="532">
        <v>2.8999999999999998E-3</v>
      </c>
      <c r="C1007" s="533">
        <v>1.0426046899999999</v>
      </c>
    </row>
    <row r="1008" spans="1:3">
      <c r="A1008" s="531">
        <v>44652</v>
      </c>
      <c r="B1008" s="532">
        <v>3.0000000000000001E-3</v>
      </c>
      <c r="C1008" s="533">
        <v>1.0426130899999999</v>
      </c>
    </row>
    <row r="1009" spans="1:3">
      <c r="A1009" s="531">
        <v>44655</v>
      </c>
      <c r="B1009" s="532">
        <v>3.0000000000000001E-3</v>
      </c>
      <c r="C1009" s="533">
        <v>1.0426391500000001</v>
      </c>
    </row>
    <row r="1010" spans="1:3">
      <c r="A1010" s="531">
        <v>44656</v>
      </c>
      <c r="B1010" s="532">
        <v>3.0000000000000001E-3</v>
      </c>
      <c r="C1010" s="533">
        <v>1.0426478400000001</v>
      </c>
    </row>
    <row r="1011" spans="1:3">
      <c r="A1011" s="531">
        <v>44657</v>
      </c>
      <c r="B1011" s="532">
        <v>3.0000000000000001E-3</v>
      </c>
      <c r="C1011" s="533">
        <v>1.0426565299999999</v>
      </c>
    </row>
    <row r="1012" spans="1:3">
      <c r="A1012" s="531">
        <v>44658</v>
      </c>
      <c r="B1012" s="532">
        <v>3.0000000000000001E-3</v>
      </c>
      <c r="C1012" s="533">
        <v>1.0426652199999999</v>
      </c>
    </row>
    <row r="1013" spans="1:3">
      <c r="A1013" s="531">
        <v>44659</v>
      </c>
      <c r="B1013" s="532">
        <v>3.0000000000000001E-3</v>
      </c>
      <c r="C1013" s="533">
        <v>1.04267391</v>
      </c>
    </row>
    <row r="1014" spans="1:3">
      <c r="A1014" s="531">
        <v>44662</v>
      </c>
      <c r="B1014" s="532">
        <v>3.0000000000000001E-3</v>
      </c>
      <c r="C1014" s="533">
        <v>1.0426999699999999</v>
      </c>
    </row>
    <row r="1015" spans="1:3">
      <c r="A1015" s="531">
        <v>44663</v>
      </c>
      <c r="B1015" s="532">
        <v>2.8999999999999998E-3</v>
      </c>
      <c r="C1015" s="533">
        <v>1.04270866</v>
      </c>
    </row>
    <row r="1016" spans="1:3">
      <c r="A1016" s="531">
        <v>44664</v>
      </c>
      <c r="B1016" s="532">
        <v>2.8999999999999998E-3</v>
      </c>
      <c r="C1016" s="533">
        <v>1.04271706</v>
      </c>
    </row>
    <row r="1017" spans="1:3">
      <c r="A1017" s="531">
        <v>44665</v>
      </c>
      <c r="B1017" s="532">
        <v>2.8999999999999998E-3</v>
      </c>
      <c r="C1017" s="533">
        <v>1.04272546</v>
      </c>
    </row>
    <row r="1018" spans="1:3">
      <c r="A1018" s="531">
        <v>44669</v>
      </c>
      <c r="B1018" s="532">
        <v>2.8999999999999998E-3</v>
      </c>
      <c r="C1018" s="533">
        <v>1.0427590600000001</v>
      </c>
    </row>
    <row r="1019" spans="1:3">
      <c r="A1019" s="531">
        <v>44670</v>
      </c>
      <c r="B1019" s="532">
        <v>2.8000000000000004E-3</v>
      </c>
      <c r="C1019" s="533">
        <v>1.0427674600000001</v>
      </c>
    </row>
    <row r="1020" spans="1:3">
      <c r="A1020" s="531">
        <v>44671</v>
      </c>
      <c r="B1020" s="532">
        <v>2.7000000000000001E-3</v>
      </c>
      <c r="C1020" s="533">
        <v>1.0427755700000001</v>
      </c>
    </row>
    <row r="1021" spans="1:3">
      <c r="A1021" s="531">
        <v>44672</v>
      </c>
      <c r="B1021" s="532">
        <v>2.5999999999999999E-3</v>
      </c>
      <c r="C1021" s="533">
        <v>1.0427833900000001</v>
      </c>
    </row>
    <row r="1022" spans="1:3">
      <c r="A1022" s="531">
        <v>44673</v>
      </c>
      <c r="B1022" s="532">
        <v>2.7000000000000001E-3</v>
      </c>
      <c r="C1022" s="533">
        <v>1.0427909200000001</v>
      </c>
    </row>
    <row r="1023" spans="1:3">
      <c r="A1023" s="531">
        <v>44676</v>
      </c>
      <c r="B1023" s="532">
        <v>2.7000000000000001E-3</v>
      </c>
      <c r="C1023" s="533">
        <v>1.04281438</v>
      </c>
    </row>
    <row r="1024" spans="1:3">
      <c r="A1024" s="531">
        <v>44677</v>
      </c>
      <c r="B1024" s="532">
        <v>2.7000000000000001E-3</v>
      </c>
      <c r="C1024" s="533">
        <v>1.04282221</v>
      </c>
    </row>
    <row r="1025" spans="1:3">
      <c r="A1025" s="531">
        <v>44678</v>
      </c>
      <c r="B1025" s="532">
        <v>2.8000000000000004E-3</v>
      </c>
      <c r="C1025" s="533">
        <v>1.04283003</v>
      </c>
    </row>
    <row r="1026" spans="1:3">
      <c r="A1026" s="531">
        <v>44679</v>
      </c>
      <c r="B1026" s="532">
        <v>2.8000000000000004E-3</v>
      </c>
      <c r="C1026" s="533">
        <v>1.04283814</v>
      </c>
    </row>
    <row r="1027" spans="1:3">
      <c r="A1027" s="531">
        <v>44680</v>
      </c>
      <c r="B1027" s="532">
        <v>2.8000000000000004E-3</v>
      </c>
      <c r="C1027" s="533">
        <v>1.04284625</v>
      </c>
    </row>
    <row r="1028" spans="1:3">
      <c r="A1028" s="531">
        <v>44683</v>
      </c>
      <c r="B1028" s="532">
        <v>3.0000000000000001E-3</v>
      </c>
      <c r="C1028" s="533">
        <v>1.04287058</v>
      </c>
    </row>
    <row r="1029" spans="1:3">
      <c r="A1029" s="531">
        <v>44684</v>
      </c>
      <c r="B1029" s="532">
        <v>3.0000000000000001E-3</v>
      </c>
      <c r="C1029" s="533">
        <v>1.04287927</v>
      </c>
    </row>
    <row r="1030" spans="1:3">
      <c r="A1030" s="531">
        <v>44685</v>
      </c>
      <c r="B1030" s="532">
        <v>3.0000000000000001E-3</v>
      </c>
      <c r="C1030" s="533">
        <v>1.0428879600000001</v>
      </c>
    </row>
    <row r="1031" spans="1:3">
      <c r="A1031" s="531">
        <v>44686</v>
      </c>
      <c r="B1031" s="532">
        <v>7.9000000000000008E-3</v>
      </c>
      <c r="C1031" s="533">
        <v>1.0428966500000001</v>
      </c>
    </row>
    <row r="1032" spans="1:3">
      <c r="A1032" s="531">
        <v>44687</v>
      </c>
      <c r="B1032" s="532">
        <v>7.8000000000000005E-3</v>
      </c>
      <c r="C1032" s="533">
        <v>1.04291954</v>
      </c>
    </row>
    <row r="1033" spans="1:3">
      <c r="A1033" s="531">
        <v>44690</v>
      </c>
      <c r="B1033" s="532">
        <v>7.8000000000000005E-3</v>
      </c>
      <c r="C1033" s="533">
        <v>1.0429873300000001</v>
      </c>
    </row>
    <row r="1034" spans="1:3">
      <c r="A1034" s="531">
        <v>44691</v>
      </c>
      <c r="B1034" s="532">
        <v>7.8000000000000005E-3</v>
      </c>
      <c r="C1034" s="533">
        <v>1.04300993</v>
      </c>
    </row>
    <row r="1035" spans="1:3">
      <c r="A1035" s="531">
        <v>44692</v>
      </c>
      <c r="B1035" s="532">
        <v>7.8000000000000005E-3</v>
      </c>
      <c r="C1035" s="533">
        <v>1.0430325300000001</v>
      </c>
    </row>
    <row r="1036" spans="1:3">
      <c r="A1036" s="531">
        <v>44693</v>
      </c>
      <c r="B1036" s="532">
        <v>7.9000000000000008E-3</v>
      </c>
      <c r="C1036" s="533">
        <v>1.0430551299999999</v>
      </c>
    </row>
    <row r="1037" spans="1:3">
      <c r="A1037" s="531">
        <v>44694</v>
      </c>
      <c r="B1037" s="532">
        <v>7.9000000000000008E-3</v>
      </c>
      <c r="C1037" s="533">
        <v>1.0430780100000001</v>
      </c>
    </row>
    <row r="1038" spans="1:3">
      <c r="A1038" s="531">
        <v>44696</v>
      </c>
      <c r="B1038" s="598"/>
      <c r="C1038" s="599">
        <f>ROUND(C1037*(1+(B1036/360*(A1038-A1037))),8)</f>
        <v>1.0431237900000001</v>
      </c>
    </row>
    <row r="1039" spans="1:3">
      <c r="A1039" s="531">
        <v>44697</v>
      </c>
      <c r="B1039" s="532">
        <v>8.0000000000000002E-3</v>
      </c>
      <c r="C1039" s="533">
        <v>1.04314668</v>
      </c>
    </row>
    <row r="1040" spans="1:3">
      <c r="A1040" s="531">
        <v>44698</v>
      </c>
      <c r="B1040" s="532">
        <v>8.0000000000000002E-3</v>
      </c>
      <c r="C1040" s="533">
        <v>1.0431698599999999</v>
      </c>
    </row>
    <row r="1041" spans="1:3">
      <c r="A1041" s="531">
        <v>44699</v>
      </c>
      <c r="B1041" s="532">
        <v>7.9000000000000008E-3</v>
      </c>
      <c r="C1041" s="533">
        <v>1.04319305</v>
      </c>
    </row>
    <row r="1042" spans="1:3">
      <c r="A1042" s="531">
        <v>44700</v>
      </c>
      <c r="B1042" s="532">
        <v>7.9000000000000008E-3</v>
      </c>
      <c r="C1042" s="533">
        <v>1.0432159400000001</v>
      </c>
    </row>
    <row r="1043" spans="1:3">
      <c r="A1043" s="531">
        <v>44701</v>
      </c>
      <c r="B1043" s="532">
        <v>7.8000000000000005E-3</v>
      </c>
      <c r="C1043" s="533">
        <v>1.04323883</v>
      </c>
    </row>
    <row r="1044" spans="1:3">
      <c r="A1044" s="531">
        <v>44704</v>
      </c>
      <c r="B1044" s="532">
        <v>7.8000000000000005E-3</v>
      </c>
      <c r="C1044" s="533">
        <v>1.04330664</v>
      </c>
    </row>
    <row r="1045" spans="1:3">
      <c r="A1045" s="531">
        <v>44705</v>
      </c>
      <c r="B1045" s="532">
        <v>7.8000000000000005E-3</v>
      </c>
      <c r="C1045" s="533">
        <v>1.04332925</v>
      </c>
    </row>
    <row r="1046" spans="1:3">
      <c r="A1046" s="531">
        <v>44706</v>
      </c>
      <c r="B1046" s="532">
        <v>7.8000000000000005E-3</v>
      </c>
      <c r="C1046" s="533">
        <v>1.0433518500000001</v>
      </c>
    </row>
    <row r="1047" spans="1:3">
      <c r="A1047" s="531">
        <v>44707</v>
      </c>
      <c r="B1047" s="532">
        <v>7.8000000000000005E-3</v>
      </c>
      <c r="C1047" s="533">
        <v>1.0433744599999999</v>
      </c>
    </row>
    <row r="1048" spans="1:3">
      <c r="A1048" s="531">
        <v>44708</v>
      </c>
      <c r="B1048" s="532">
        <v>7.8000000000000005E-3</v>
      </c>
      <c r="C1048" s="533">
        <v>1.04339706</v>
      </c>
    </row>
    <row r="1049" spans="1:3">
      <c r="A1049" s="531">
        <v>44712</v>
      </c>
      <c r="B1049" s="532">
        <v>7.9000000000000008E-3</v>
      </c>
      <c r="C1049" s="533">
        <v>1.04348749</v>
      </c>
    </row>
    <row r="1050" spans="1:3">
      <c r="A1050" s="531">
        <v>44713</v>
      </c>
      <c r="B1050" s="532">
        <v>8.0000000000000002E-3</v>
      </c>
      <c r="C1050" s="533">
        <v>1.04351039</v>
      </c>
    </row>
    <row r="1051" spans="1:3">
      <c r="A1051" s="531">
        <v>44714</v>
      </c>
      <c r="B1051" s="532">
        <v>7.9000000000000008E-3</v>
      </c>
      <c r="C1051" s="533">
        <v>1.0435335800000001</v>
      </c>
    </row>
    <row r="1052" spans="1:3">
      <c r="A1052" s="531">
        <v>44715</v>
      </c>
      <c r="B1052" s="532">
        <v>7.8000000000000005E-3</v>
      </c>
      <c r="C1052" s="533">
        <v>1.0435564799999999</v>
      </c>
    </row>
    <row r="1053" spans="1:3">
      <c r="A1053" s="531">
        <v>44718</v>
      </c>
      <c r="B1053" s="532">
        <v>7.8000000000000005E-3</v>
      </c>
      <c r="C1053" s="533">
        <v>1.04362431</v>
      </c>
    </row>
    <row r="1054" spans="1:3">
      <c r="A1054" s="531">
        <v>44719</v>
      </c>
      <c r="B1054" s="532">
        <v>7.7000000000000002E-3</v>
      </c>
      <c r="C1054" s="533">
        <v>1.04364692</v>
      </c>
    </row>
    <row r="1055" spans="1:3">
      <c r="A1055" s="531">
        <v>44720</v>
      </c>
      <c r="B1055" s="532">
        <v>7.6E-3</v>
      </c>
      <c r="C1055" s="533">
        <v>1.04366925</v>
      </c>
    </row>
    <row r="1056" spans="1:3">
      <c r="A1056" s="531">
        <v>44721</v>
      </c>
      <c r="B1056" s="532">
        <v>7.4999999999999997E-3</v>
      </c>
      <c r="C1056" s="533">
        <v>1.04369128</v>
      </c>
    </row>
    <row r="1057" spans="1:3">
      <c r="A1057" s="531">
        <v>44722</v>
      </c>
      <c r="B1057" s="532">
        <v>7.4999999999999997E-3</v>
      </c>
      <c r="C1057" s="533">
        <v>1.04371302</v>
      </c>
    </row>
    <row r="1058" spans="1:3">
      <c r="A1058" s="531">
        <v>44725</v>
      </c>
      <c r="B1058" s="532">
        <v>7.3000000000000001E-3</v>
      </c>
      <c r="C1058" s="533">
        <v>1.0437782499999999</v>
      </c>
    </row>
    <row r="1059" spans="1:3">
      <c r="A1059" s="531">
        <v>44726</v>
      </c>
      <c r="B1059" s="532">
        <v>6.8999999999999999E-3</v>
      </c>
      <c r="C1059" s="533">
        <v>1.04379942</v>
      </c>
    </row>
    <row r="1060" spans="1:3">
      <c r="A1060" s="531">
        <v>44727</v>
      </c>
      <c r="B1060" s="532">
        <v>6.9999999999999993E-3</v>
      </c>
      <c r="C1060" s="533">
        <v>1.0438194300000001</v>
      </c>
    </row>
    <row r="1061" spans="1:3">
      <c r="A1061" s="531">
        <v>44728</v>
      </c>
      <c r="B1061" s="532">
        <v>1.4499999999999999E-2</v>
      </c>
      <c r="C1061" s="533">
        <v>1.04383972</v>
      </c>
    </row>
    <row r="1062" spans="1:3">
      <c r="A1062" s="531">
        <v>44729</v>
      </c>
      <c r="B1062" s="532">
        <v>1.4499999999999999E-2</v>
      </c>
      <c r="C1062" s="533">
        <v>1.04388177</v>
      </c>
    </row>
    <row r="1063" spans="1:3">
      <c r="A1063" s="531">
        <v>44733</v>
      </c>
      <c r="B1063" s="532">
        <v>1.4499999999999999E-2</v>
      </c>
      <c r="C1063" s="533">
        <v>1.04404995</v>
      </c>
    </row>
    <row r="1064" spans="1:3">
      <c r="A1064" s="531">
        <v>44734</v>
      </c>
      <c r="B1064" s="532">
        <v>1.4499999999999999E-2</v>
      </c>
      <c r="C1064" s="533">
        <v>1.044092</v>
      </c>
    </row>
    <row r="1065" spans="1:3">
      <c r="A1065" s="531">
        <v>44735</v>
      </c>
      <c r="B1065" s="532">
        <v>1.44E-2</v>
      </c>
      <c r="C1065" s="533">
        <v>1.04413405</v>
      </c>
    </row>
    <row r="1066" spans="1:3">
      <c r="A1066" s="531">
        <v>44736</v>
      </c>
      <c r="B1066" s="532">
        <v>1.46E-2</v>
      </c>
      <c r="C1066" s="533">
        <v>1.04417582</v>
      </c>
    </row>
    <row r="1067" spans="1:3">
      <c r="A1067" s="531">
        <v>44739</v>
      </c>
      <c r="B1067" s="532">
        <v>1.4999999999999999E-2</v>
      </c>
      <c r="C1067" s="533">
        <v>1.0443028599999999</v>
      </c>
    </row>
    <row r="1068" spans="1:3">
      <c r="A1068" s="531">
        <v>44740</v>
      </c>
      <c r="B1068" s="532">
        <v>1.52E-2</v>
      </c>
      <c r="C1068" s="533">
        <v>1.04434637</v>
      </c>
    </row>
    <row r="1069" spans="1:3">
      <c r="A1069" s="531">
        <v>44741</v>
      </c>
      <c r="B1069" s="532">
        <v>1.5100000000000001E-2</v>
      </c>
      <c r="C1069" s="533">
        <v>1.04439047</v>
      </c>
    </row>
    <row r="1070" spans="1:3">
      <c r="A1070" s="531">
        <v>44742</v>
      </c>
      <c r="B1070" s="532">
        <v>1.4999999999999999E-2</v>
      </c>
      <c r="C1070" s="533">
        <v>1.04443427</v>
      </c>
    </row>
    <row r="1071" spans="1:3">
      <c r="A1071" s="531">
        <v>44743</v>
      </c>
      <c r="B1071" s="532">
        <v>1.52E-2</v>
      </c>
      <c r="C1071" s="533">
        <v>1.04447779</v>
      </c>
    </row>
    <row r="1072" spans="1:3">
      <c r="A1072" s="531">
        <v>44747</v>
      </c>
      <c r="B1072" s="532">
        <v>1.54E-2</v>
      </c>
      <c r="C1072" s="533">
        <v>1.0446541899999999</v>
      </c>
    </row>
    <row r="1073" spans="1:3">
      <c r="A1073" s="531">
        <v>44748</v>
      </c>
      <c r="B1073" s="532">
        <v>1.54E-2</v>
      </c>
      <c r="C1073" s="533">
        <v>1.0446988800000001</v>
      </c>
    </row>
    <row r="1074" spans="1:3">
      <c r="A1074" s="531">
        <v>44749</v>
      </c>
      <c r="B1074" s="532">
        <v>1.54E-2</v>
      </c>
      <c r="C1074" s="533">
        <v>1.0447435700000001</v>
      </c>
    </row>
    <row r="1075" spans="1:3">
      <c r="A1075" s="531">
        <v>44750</v>
      </c>
      <c r="B1075" s="532">
        <v>1.5300000000000001E-2</v>
      </c>
      <c r="C1075" s="533">
        <v>1.04478826</v>
      </c>
    </row>
    <row r="1076" spans="1:3">
      <c r="A1076" s="531">
        <v>44753</v>
      </c>
      <c r="B1076" s="532">
        <v>1.5300000000000001E-2</v>
      </c>
      <c r="C1076" s="533">
        <v>1.04492147</v>
      </c>
    </row>
    <row r="1077" spans="1:3">
      <c r="A1077" s="531">
        <v>44754</v>
      </c>
      <c r="B1077" s="532">
        <v>1.54E-2</v>
      </c>
      <c r="C1077" s="533">
        <v>1.0449658799999999</v>
      </c>
    </row>
    <row r="1078" spans="1:3">
      <c r="A1078" s="531">
        <v>44755</v>
      </c>
      <c r="B1078" s="532">
        <v>1.5300000000000001E-2</v>
      </c>
      <c r="C1078" s="533">
        <v>1.04501058</v>
      </c>
    </row>
    <row r="1079" spans="1:3">
      <c r="A1079" s="531">
        <v>44756</v>
      </c>
      <c r="B1079" s="532">
        <v>1.5300000000000001E-2</v>
      </c>
      <c r="C1079" s="533">
        <v>1.0450550000000001</v>
      </c>
    </row>
    <row r="1080" spans="1:3">
      <c r="A1080" s="531">
        <v>44757</v>
      </c>
      <c r="B1080" s="532">
        <v>1.54E-2</v>
      </c>
      <c r="C1080" s="533">
        <v>1.04509941</v>
      </c>
    </row>
    <row r="1081" spans="1:3">
      <c r="A1081" s="531">
        <v>44760</v>
      </c>
      <c r="B1081" s="532">
        <v>1.54E-2</v>
      </c>
      <c r="C1081" s="533">
        <v>1.04523353</v>
      </c>
    </row>
    <row r="1082" spans="1:3">
      <c r="A1082" s="531">
        <v>44761</v>
      </c>
      <c r="B1082" s="532">
        <v>1.54E-2</v>
      </c>
      <c r="C1082" s="533">
        <v>1.04527824</v>
      </c>
    </row>
    <row r="1083" spans="1:3">
      <c r="A1083" s="531">
        <v>44762</v>
      </c>
      <c r="B1083" s="532">
        <v>1.5300000000000001E-2</v>
      </c>
      <c r="C1083" s="533">
        <v>1.04532296</v>
      </c>
    </row>
    <row r="1084" spans="1:3">
      <c r="A1084" s="531">
        <v>44763</v>
      </c>
      <c r="B1084" s="532">
        <v>1.5300000000000001E-2</v>
      </c>
      <c r="C1084" s="533">
        <v>1.04536739</v>
      </c>
    </row>
    <row r="1085" spans="1:3">
      <c r="A1085" s="531">
        <v>44764</v>
      </c>
      <c r="B1085" s="532">
        <v>1.52E-2</v>
      </c>
      <c r="C1085" s="533">
        <v>1.0454118100000001</v>
      </c>
    </row>
    <row r="1086" spans="1:3">
      <c r="A1086" s="531">
        <v>44767</v>
      </c>
      <c r="B1086" s="532">
        <v>1.5300000000000001E-2</v>
      </c>
      <c r="C1086" s="533">
        <v>1.04554423</v>
      </c>
    </row>
    <row r="1087" spans="1:3">
      <c r="A1087" s="531">
        <v>44768</v>
      </c>
      <c r="B1087" s="532">
        <v>1.5300000000000001E-2</v>
      </c>
      <c r="C1087" s="533">
        <v>1.0455886700000001</v>
      </c>
    </row>
    <row r="1088" spans="1:3">
      <c r="A1088" s="531">
        <v>44769</v>
      </c>
      <c r="B1088" s="532">
        <v>1.5300000000000001E-2</v>
      </c>
      <c r="C1088" s="533">
        <v>1.04563311</v>
      </c>
    </row>
    <row r="1089" spans="1:3">
      <c r="A1089" s="531">
        <v>44770</v>
      </c>
      <c r="B1089" s="532">
        <v>2.2799999999999997E-2</v>
      </c>
      <c r="C1089" s="533">
        <v>1.04567754</v>
      </c>
    </row>
    <row r="1090" spans="1:3">
      <c r="A1090" s="531">
        <v>44771</v>
      </c>
      <c r="B1090" s="532">
        <v>2.2700000000000001E-2</v>
      </c>
      <c r="C1090" s="533">
        <v>1.0457437700000001</v>
      </c>
    </row>
    <row r="1091" spans="1:3">
      <c r="A1091" s="531">
        <v>44774</v>
      </c>
      <c r="B1091" s="532">
        <v>2.2799999999999997E-2</v>
      </c>
      <c r="C1091" s="533">
        <v>1.04594159</v>
      </c>
    </row>
    <row r="1092" spans="1:3">
      <c r="A1092" s="531">
        <v>44775</v>
      </c>
      <c r="B1092" s="532">
        <v>2.3E-2</v>
      </c>
      <c r="C1092" s="533">
        <v>1.04600783</v>
      </c>
    </row>
    <row r="1093" spans="1:3">
      <c r="A1093" s="531">
        <v>44776</v>
      </c>
      <c r="B1093" s="532">
        <v>2.29E-2</v>
      </c>
      <c r="C1093" s="533">
        <v>1.0460746599999999</v>
      </c>
    </row>
    <row r="1094" spans="1:3">
      <c r="A1094" s="531">
        <v>44777</v>
      </c>
      <c r="B1094" s="532">
        <v>2.29E-2</v>
      </c>
      <c r="C1094" s="533">
        <v>1.0461412000000001</v>
      </c>
    </row>
    <row r="1095" spans="1:3">
      <c r="A1095" s="531">
        <v>44778</v>
      </c>
      <c r="B1095" s="532">
        <v>2.2799999999999997E-2</v>
      </c>
      <c r="C1095" s="533">
        <v>1.04620775</v>
      </c>
    </row>
    <row r="1096" spans="1:3">
      <c r="A1096" s="531">
        <v>44781</v>
      </c>
      <c r="B1096" s="532">
        <v>2.2799999999999997E-2</v>
      </c>
      <c r="C1096" s="533">
        <v>1.0464065300000001</v>
      </c>
    </row>
    <row r="1097" spans="1:3">
      <c r="A1097" s="531">
        <v>44782</v>
      </c>
      <c r="B1097" s="532">
        <v>2.29E-2</v>
      </c>
      <c r="C1097" s="533">
        <v>1.0464728000000001</v>
      </c>
    </row>
    <row r="1098" spans="1:3">
      <c r="A1098" s="531">
        <v>44783</v>
      </c>
      <c r="B1098" s="532">
        <v>2.2799999999999997E-2</v>
      </c>
      <c r="C1098" s="533">
        <v>1.0465393700000001</v>
      </c>
    </row>
    <row r="1099" spans="1:3">
      <c r="A1099" s="531">
        <v>44784</v>
      </c>
      <c r="B1099" s="532">
        <v>2.2799999999999997E-2</v>
      </c>
      <c r="C1099" s="533">
        <v>1.0466056500000001</v>
      </c>
    </row>
    <row r="1100" spans="1:3">
      <c r="A1100" s="531">
        <v>44785</v>
      </c>
      <c r="B1100" s="532">
        <v>2.2799999999999997E-2</v>
      </c>
      <c r="C1100" s="533">
        <v>1.04667194</v>
      </c>
    </row>
    <row r="1101" spans="1:3">
      <c r="A1101" s="531">
        <v>44788</v>
      </c>
      <c r="B1101" s="532">
        <v>2.29E-2</v>
      </c>
      <c r="C1101" s="533">
        <v>1.0468708</v>
      </c>
    </row>
    <row r="1102" spans="1:3">
      <c r="A1102" s="531">
        <v>44789</v>
      </c>
      <c r="B1102" s="532">
        <v>2.29E-2</v>
      </c>
      <c r="C1102" s="533">
        <v>1.0469374</v>
      </c>
    </row>
    <row r="1103" spans="1:3">
      <c r="A1103" s="531">
        <v>44790</v>
      </c>
      <c r="B1103" s="532">
        <v>2.29E-2</v>
      </c>
      <c r="C1103" s="533">
        <v>1.0470039900000001</v>
      </c>
    </row>
    <row r="1104" spans="1:3">
      <c r="A1104" s="531">
        <v>44791</v>
      </c>
      <c r="B1104" s="532">
        <v>2.2799999999999997E-2</v>
      </c>
      <c r="C1104" s="533">
        <v>1.0470705899999999</v>
      </c>
    </row>
    <row r="1105" spans="1:3">
      <c r="A1105" s="531">
        <v>44792</v>
      </c>
      <c r="B1105" s="532">
        <v>2.2799999999999997E-2</v>
      </c>
      <c r="C1105" s="533">
        <v>1.0471369100000001</v>
      </c>
    </row>
    <row r="1106" spans="1:3">
      <c r="A1106" s="531">
        <v>44795</v>
      </c>
      <c r="B1106" s="532">
        <v>2.2799999999999997E-2</v>
      </c>
      <c r="C1106" s="533">
        <v>1.04733586</v>
      </c>
    </row>
    <row r="1107" spans="1:3">
      <c r="A1107" s="531">
        <v>44796</v>
      </c>
      <c r="B1107" s="532">
        <v>2.2700000000000001E-2</v>
      </c>
      <c r="C1107" s="533">
        <v>1.0474022000000001</v>
      </c>
    </row>
    <row r="1108" spans="1:3">
      <c r="A1108" s="531">
        <v>44797</v>
      </c>
      <c r="B1108" s="532">
        <v>2.2700000000000001E-2</v>
      </c>
      <c r="C1108" s="533">
        <v>1.0474682399999999</v>
      </c>
    </row>
    <row r="1109" spans="1:3">
      <c r="A1109" s="531">
        <v>44798</v>
      </c>
      <c r="B1109" s="532">
        <v>2.2799999999999997E-2</v>
      </c>
      <c r="C1109" s="533">
        <v>1.04753429</v>
      </c>
    </row>
    <row r="1110" spans="1:3">
      <c r="A1110" s="531">
        <v>44799</v>
      </c>
      <c r="B1110" s="532">
        <v>2.2799999999999997E-2</v>
      </c>
      <c r="C1110" s="533">
        <v>1.04760063</v>
      </c>
    </row>
    <row r="1111" spans="1:3">
      <c r="A1111" s="531">
        <v>44802</v>
      </c>
      <c r="B1111" s="532">
        <v>2.2799999999999997E-2</v>
      </c>
      <c r="C1111" s="533">
        <v>1.04779968</v>
      </c>
    </row>
    <row r="1112" spans="1:3">
      <c r="A1112" s="531">
        <v>44803</v>
      </c>
      <c r="B1112" s="532">
        <v>2.29E-2</v>
      </c>
      <c r="C1112" s="533">
        <v>1.0478660399999999</v>
      </c>
    </row>
    <row r="1113" spans="1:3">
      <c r="A1113" s="531">
        <v>44804</v>
      </c>
      <c r="B1113" s="532">
        <v>2.29E-2</v>
      </c>
      <c r="C1113" s="533">
        <v>1.0479326900000001</v>
      </c>
    </row>
    <row r="1114" spans="1:3">
      <c r="A1114" s="531">
        <v>44805</v>
      </c>
      <c r="B1114" s="532">
        <v>2.29E-2</v>
      </c>
      <c r="C1114" s="533">
        <v>1.04799935</v>
      </c>
    </row>
    <row r="1115" spans="1:3">
      <c r="A1115" s="531">
        <v>44806</v>
      </c>
      <c r="B1115" s="532">
        <v>2.29E-2</v>
      </c>
      <c r="C1115" s="533">
        <v>1.04806602</v>
      </c>
    </row>
    <row r="1116" spans="1:3">
      <c r="A1116" s="531">
        <v>44810</v>
      </c>
      <c r="B1116" s="532">
        <v>2.29E-2</v>
      </c>
      <c r="C1116" s="533">
        <v>1.0483326900000001</v>
      </c>
    </row>
    <row r="1117" spans="1:3">
      <c r="A1117" s="531">
        <v>44811</v>
      </c>
      <c r="B1117" s="532">
        <v>2.2799999999999997E-2</v>
      </c>
      <c r="C1117" s="533">
        <v>1.04839938</v>
      </c>
    </row>
    <row r="1118" spans="1:3">
      <c r="A1118" s="531">
        <v>44812</v>
      </c>
      <c r="B1118" s="532">
        <v>2.2799999999999997E-2</v>
      </c>
      <c r="C1118" s="533">
        <v>1.0484657799999999</v>
      </c>
    </row>
    <row r="1119" spans="1:3">
      <c r="A1119" s="531">
        <v>44813</v>
      </c>
      <c r="B1119" s="532">
        <v>2.2799999999999997E-2</v>
      </c>
      <c r="C1119" s="533">
        <v>1.04853218</v>
      </c>
    </row>
    <row r="1120" spans="1:3">
      <c r="A1120" s="531">
        <v>44816</v>
      </c>
      <c r="B1120" s="532">
        <v>2.2799999999999997E-2</v>
      </c>
      <c r="C1120" s="533">
        <v>1.0487314000000001</v>
      </c>
    </row>
    <row r="1121" spans="1:3">
      <c r="A1121" s="531">
        <v>44817</v>
      </c>
      <c r="B1121" s="532">
        <v>2.2799999999999997E-2</v>
      </c>
      <c r="C1121" s="533">
        <v>1.0487978200000001</v>
      </c>
    </row>
    <row r="1122" spans="1:3">
      <c r="A1122" s="531">
        <v>44818</v>
      </c>
      <c r="B1122" s="532">
        <v>2.2700000000000001E-2</v>
      </c>
      <c r="C1122" s="533">
        <v>1.0488642399999999</v>
      </c>
    </row>
    <row r="1123" spans="1:3">
      <c r="A1123" s="531">
        <v>44819</v>
      </c>
      <c r="B1123" s="532">
        <v>2.2799999999999997E-2</v>
      </c>
      <c r="C1123" s="533">
        <v>1.0489303800000001</v>
      </c>
    </row>
    <row r="1124" spans="1:3">
      <c r="A1124" s="531">
        <v>44820</v>
      </c>
      <c r="B1124" s="532">
        <v>2.2700000000000001E-2</v>
      </c>
      <c r="C1124" s="533">
        <v>1.04899681</v>
      </c>
    </row>
    <row r="1125" spans="1:3">
      <c r="A1125" s="531">
        <v>44823</v>
      </c>
      <c r="B1125" s="532">
        <v>2.2700000000000001E-2</v>
      </c>
      <c r="C1125" s="533">
        <v>1.0491952499999999</v>
      </c>
    </row>
    <row r="1126" spans="1:3">
      <c r="A1126" s="531">
        <v>44824</v>
      </c>
      <c r="B1126" s="532">
        <v>2.2599999999999999E-2</v>
      </c>
      <c r="C1126" s="533">
        <v>1.0492614099999999</v>
      </c>
    </row>
    <row r="1127" spans="1:3">
      <c r="A1127" s="531">
        <v>44825</v>
      </c>
      <c r="B1127" s="532">
        <v>2.2499999999999999E-2</v>
      </c>
      <c r="C1127" s="533">
        <v>1.04932728</v>
      </c>
    </row>
    <row r="1128" spans="1:3">
      <c r="A1128" s="531">
        <v>44826</v>
      </c>
      <c r="B1128" s="532">
        <v>2.9900000000000003E-2</v>
      </c>
      <c r="C1128" s="533">
        <v>1.04939286</v>
      </c>
    </row>
    <row r="1129" spans="1:3">
      <c r="A1129" s="531">
        <v>44827</v>
      </c>
      <c r="B1129" s="532">
        <v>2.9900000000000003E-2</v>
      </c>
      <c r="C1129" s="533">
        <v>1.0494800200000001</v>
      </c>
    </row>
    <row r="1130" spans="1:3">
      <c r="A1130" s="531">
        <v>44830</v>
      </c>
      <c r="B1130" s="532">
        <v>2.9900000000000003E-2</v>
      </c>
      <c r="C1130" s="533">
        <v>1.04974151</v>
      </c>
    </row>
    <row r="1131" spans="1:3">
      <c r="A1131" s="531">
        <v>44831</v>
      </c>
      <c r="B1131" s="532">
        <v>2.98E-2</v>
      </c>
      <c r="C1131" s="533">
        <v>1.0498286999999999</v>
      </c>
    </row>
    <row r="1132" spans="1:3">
      <c r="A1132" s="531">
        <v>44832</v>
      </c>
      <c r="B1132" s="532">
        <v>2.98E-2</v>
      </c>
      <c r="C1132" s="533">
        <v>1.0499156000000001</v>
      </c>
    </row>
    <row r="1133" spans="1:3">
      <c r="A1133" s="531">
        <v>44833</v>
      </c>
      <c r="B1133" s="532">
        <v>2.9600000000000001E-2</v>
      </c>
      <c r="C1133" s="533">
        <v>1.0500025100000001</v>
      </c>
    </row>
    <row r="1134" spans="1:3">
      <c r="A1134" s="531">
        <v>44834</v>
      </c>
      <c r="B1134" s="532">
        <v>2.98E-2</v>
      </c>
      <c r="C1134" s="533">
        <v>1.0500888399999999</v>
      </c>
    </row>
    <row r="1135" spans="1:3">
      <c r="A1135" s="531">
        <v>44835</v>
      </c>
      <c r="B1135" s="598"/>
      <c r="C1135" s="599">
        <f>ROUND(C1134*(1+(B1133/360*(A1135-A1134))),8)</f>
        <v>1.0501751800000001</v>
      </c>
    </row>
    <row r="1136" spans="1:3">
      <c r="A1136" s="531">
        <v>44836</v>
      </c>
      <c r="B1136" s="598"/>
      <c r="C1136" s="599">
        <f>ROUND(C1135*(1+(B1134/360*(A1136-A1134))),8)</f>
        <v>1.05034904</v>
      </c>
    </row>
    <row r="1137" spans="1:3">
      <c r="A1137" s="531">
        <v>44837</v>
      </c>
      <c r="B1137" s="532">
        <v>0.03</v>
      </c>
      <c r="C1137" s="533">
        <v>1.05034962</v>
      </c>
    </row>
    <row r="1138" spans="1:3">
      <c r="A1138" s="531">
        <v>44838</v>
      </c>
      <c r="B1138" s="532">
        <v>3.04E-2</v>
      </c>
      <c r="C1138" s="533">
        <v>1.05043715</v>
      </c>
    </row>
    <row r="1139" spans="1:3">
      <c r="A1139" s="531">
        <v>44839</v>
      </c>
      <c r="B1139" s="532">
        <v>3.04E-2</v>
      </c>
      <c r="C1139" s="533">
        <v>1.0505258500000001</v>
      </c>
    </row>
    <row r="1140" spans="1:3">
      <c r="A1140" s="531">
        <v>44840</v>
      </c>
      <c r="B1140" s="532">
        <v>3.0499999999999999E-2</v>
      </c>
      <c r="C1140" s="533">
        <v>1.0506145600000001</v>
      </c>
    </row>
    <row r="1141" spans="1:3">
      <c r="A1141" s="531">
        <v>44841</v>
      </c>
      <c r="B1141" s="600">
        <v>3.0499999999999999E-2</v>
      </c>
      <c r="C1141" s="458">
        <v>1.05070357</v>
      </c>
    </row>
    <row r="1142" spans="1:3">
      <c r="A1142" s="531">
        <v>44845</v>
      </c>
      <c r="B1142" s="601">
        <v>3.0499999999999999E-2</v>
      </c>
      <c r="C1142" s="458">
        <v>1.0510596400000001</v>
      </c>
    </row>
    <row r="1143" spans="1:3">
      <c r="A1143" s="531">
        <v>44846</v>
      </c>
      <c r="B1143" s="601">
        <v>3.04E-2</v>
      </c>
      <c r="C1143" s="458">
        <v>1.05114869</v>
      </c>
    </row>
    <row r="1144" spans="1:3">
      <c r="A1144" s="531">
        <v>44847</v>
      </c>
      <c r="B1144" s="601">
        <v>3.04E-2</v>
      </c>
      <c r="C1144" s="458">
        <v>1.0512374499999999</v>
      </c>
    </row>
    <row r="1145" spans="1:3">
      <c r="A1145" s="531">
        <v>44848</v>
      </c>
      <c r="B1145" s="602">
        <v>3.04E-2</v>
      </c>
      <c r="C1145" s="603">
        <v>1.0513262299999999</v>
      </c>
    </row>
    <row r="1146" spans="1:3">
      <c r="A1146" s="531">
        <v>44851</v>
      </c>
      <c r="B1146" s="602">
        <v>3.0499999999999999E-2</v>
      </c>
      <c r="C1146" s="603">
        <v>1.05159256</v>
      </c>
    </row>
    <row r="1147" spans="1:3">
      <c r="A1147" s="531">
        <v>44852</v>
      </c>
      <c r="B1147" s="601">
        <v>3.04E-2</v>
      </c>
      <c r="C1147" s="458">
        <v>1.0516816499999999</v>
      </c>
    </row>
    <row r="1148" spans="1:3">
      <c r="A1148" s="531">
        <v>44853</v>
      </c>
      <c r="B1148" s="601">
        <v>3.04E-2</v>
      </c>
      <c r="C1148" s="458">
        <v>1.05177046</v>
      </c>
    </row>
    <row r="1149" spans="1:3">
      <c r="A1149" s="531">
        <v>44854</v>
      </c>
      <c r="B1149" s="601">
        <v>3.0299999999999997E-2</v>
      </c>
      <c r="C1149" s="458">
        <v>1.05185928</v>
      </c>
    </row>
    <row r="1150" spans="1:3">
      <c r="A1150" s="531">
        <v>44855</v>
      </c>
      <c r="B1150" s="601">
        <v>3.0200000000000001E-2</v>
      </c>
      <c r="C1150" s="458">
        <v>1.0519478099999999</v>
      </c>
    </row>
    <row r="1151" spans="1:3">
      <c r="A1151" s="531">
        <v>44858</v>
      </c>
      <c r="B1151" s="601">
        <v>3.0099999999999998E-2</v>
      </c>
      <c r="C1151" s="458">
        <v>1.0522125499999999</v>
      </c>
    </row>
    <row r="1152" spans="1:3">
      <c r="A1152" s="531">
        <v>44859</v>
      </c>
      <c r="B1152" s="601">
        <v>3.0200000000000001E-2</v>
      </c>
      <c r="C1152" s="458">
        <v>1.0523005299999999</v>
      </c>
    </row>
    <row r="1153" spans="1:3">
      <c r="A1153" s="531">
        <v>44860</v>
      </c>
      <c r="B1153" s="601">
        <v>3.0299999999999997E-2</v>
      </c>
      <c r="C1153" s="458">
        <v>1.0523887999999999</v>
      </c>
    </row>
    <row r="1154" spans="1:3">
      <c r="A1154" s="531">
        <v>44861</v>
      </c>
      <c r="B1154" s="601">
        <v>3.04E-2</v>
      </c>
      <c r="C1154" s="458">
        <v>1.05247738</v>
      </c>
    </row>
    <row r="1155" spans="1:3">
      <c r="A1155" s="531">
        <v>44862</v>
      </c>
      <c r="B1155" s="601">
        <v>3.0499999999999999E-2</v>
      </c>
      <c r="C1155" s="458">
        <v>1.0525662600000001</v>
      </c>
    </row>
    <row r="1156" spans="1:3">
      <c r="A1156" s="531">
        <v>44865</v>
      </c>
      <c r="B1156" s="601">
        <v>3.0499999999999999E-2</v>
      </c>
      <c r="C1156" s="458">
        <v>1.0528337800000001</v>
      </c>
    </row>
    <row r="1157" spans="1:3">
      <c r="A1157" s="531">
        <v>44866</v>
      </c>
      <c r="B1157" s="601">
        <v>3.0499999999999999E-2</v>
      </c>
      <c r="C1157" s="458">
        <v>1.05292298</v>
      </c>
    </row>
    <row r="1158" spans="1:3">
      <c r="A1158" s="531">
        <v>44867</v>
      </c>
      <c r="B1158" s="601">
        <v>3.0499999999999999E-2</v>
      </c>
      <c r="C1158" s="458">
        <v>1.05301219</v>
      </c>
    </row>
    <row r="1159" spans="1:3">
      <c r="A1159" s="531">
        <v>44868</v>
      </c>
      <c r="B1159" s="601">
        <v>3.7999999999999999E-2</v>
      </c>
      <c r="C1159" s="458">
        <v>1.0531014000000001</v>
      </c>
    </row>
    <row r="1160" spans="1:3">
      <c r="A1160" s="531">
        <v>44869</v>
      </c>
      <c r="B1160" s="601">
        <v>3.7999999999999999E-2</v>
      </c>
      <c r="C1160" s="458">
        <v>1.05321256</v>
      </c>
    </row>
    <row r="1161" spans="1:3">
      <c r="A1161" s="531">
        <v>44872</v>
      </c>
      <c r="B1161" s="601">
        <v>3.78E-2</v>
      </c>
      <c r="C1161" s="458">
        <v>1.0535460800000001</v>
      </c>
    </row>
    <row r="1162" spans="1:3">
      <c r="A1162" s="531">
        <v>44873</v>
      </c>
      <c r="B1162" s="601">
        <v>3.78E-2</v>
      </c>
      <c r="C1162" s="458">
        <v>1.0536566999999999</v>
      </c>
    </row>
    <row r="1163" spans="1:3">
      <c r="A1163" s="531">
        <v>44874</v>
      </c>
      <c r="B1163" s="601">
        <v>3.78E-2</v>
      </c>
      <c r="C1163" s="458">
        <v>1.0537673400000001</v>
      </c>
    </row>
    <row r="1164" spans="1:3">
      <c r="A1164" s="531">
        <v>44875</v>
      </c>
      <c r="B1164" s="601">
        <v>3.78E-2</v>
      </c>
      <c r="C1164" s="458">
        <v>1.05387798</v>
      </c>
    </row>
    <row r="1165" spans="1:3">
      <c r="A1165" s="531">
        <v>44879</v>
      </c>
      <c r="B1165" s="601">
        <v>3.7900000000000003E-2</v>
      </c>
      <c r="C1165" s="458">
        <v>1.05432061</v>
      </c>
    </row>
    <row r="1166" spans="1:3">
      <c r="A1166" s="531">
        <v>44880</v>
      </c>
      <c r="B1166" s="601">
        <v>3.7999999999999999E-2</v>
      </c>
      <c r="C1166" s="458">
        <v>1.05443161</v>
      </c>
    </row>
    <row r="1167" spans="1:3">
      <c r="A1167" s="531">
        <v>44881</v>
      </c>
      <c r="C1167" s="458">
        <v>1.0545429099999999</v>
      </c>
    </row>
    <row r="1168" spans="1:3">
      <c r="A1168" s="531"/>
    </row>
    <row r="1169" spans="1:1">
      <c r="A1169" s="531"/>
    </row>
    <row r="1170" spans="1:1">
      <c r="A1170" s="531"/>
    </row>
    <row r="1171" spans="1:1">
      <c r="A1171" s="531"/>
    </row>
    <row r="1172" spans="1:1">
      <c r="A1172" s="531"/>
    </row>
    <row r="1173" spans="1:1">
      <c r="A1173" s="531"/>
    </row>
    <row r="1174" spans="1:1">
      <c r="A1174" s="531"/>
    </row>
    <row r="1175" spans="1:1">
      <c r="A1175" s="531"/>
    </row>
    <row r="1176" spans="1:1">
      <c r="A1176" s="531"/>
    </row>
    <row r="1177" spans="1:1">
      <c r="A1177" s="531"/>
    </row>
    <row r="1178" spans="1:1">
      <c r="A1178" s="531"/>
    </row>
    <row r="1179" spans="1:1">
      <c r="A1179" s="531"/>
    </row>
    <row r="1180" spans="1:1">
      <c r="A1180" s="531"/>
    </row>
    <row r="1181" spans="1:1">
      <c r="A1181" s="531"/>
    </row>
    <row r="1182" spans="1:1">
      <c r="A1182" s="531"/>
    </row>
    <row r="1183" spans="1:1">
      <c r="A1183" s="531"/>
    </row>
    <row r="1184" spans="1:1">
      <c r="A1184" s="531"/>
    </row>
    <row r="1185" spans="1:1">
      <c r="A1185" s="531"/>
    </row>
    <row r="1186" spans="1:1">
      <c r="A1186" s="531"/>
    </row>
    <row r="1187" spans="1:1">
      <c r="A1187" s="531"/>
    </row>
    <row r="1188" spans="1:1">
      <c r="A1188" s="531"/>
    </row>
    <row r="1189" spans="1:1">
      <c r="A1189" s="531"/>
    </row>
    <row r="1190" spans="1:1">
      <c r="A1190" s="531"/>
    </row>
    <row r="1191" spans="1:1">
      <c r="A1191" s="531"/>
    </row>
    <row r="1192" spans="1:1">
      <c r="A1192" s="531"/>
    </row>
    <row r="1193" spans="1:1">
      <c r="A1193" s="531"/>
    </row>
    <row r="1194" spans="1:1">
      <c r="A1194" s="531"/>
    </row>
    <row r="1195" spans="1:1">
      <c r="A1195" s="531"/>
    </row>
    <row r="1196" spans="1:1">
      <c r="A1196" s="531"/>
    </row>
    <row r="1197" spans="1:1">
      <c r="A1197" s="531"/>
    </row>
    <row r="1198" spans="1:1">
      <c r="A1198" s="531"/>
    </row>
    <row r="1199" spans="1:1">
      <c r="A1199" s="531"/>
    </row>
    <row r="1200" spans="1:1">
      <c r="A1200" s="531"/>
    </row>
    <row r="1201" spans="1:1">
      <c r="A1201" s="531"/>
    </row>
  </sheetData>
  <pageMargins left="0.7" right="0.7" top="0.75" bottom="0.75" header="0.3" footer="0.3"/>
  <pageSetup orientation="portrait" r:id="rId1"/>
  <ignoredErrors>
    <ignoredError sqref="M12"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69B83-8B76-4316-A4DF-937B11FC90E4}">
  <dimension ref="A1:N1139"/>
  <sheetViews>
    <sheetView topLeftCell="C1" zoomScaleNormal="100" workbookViewId="0">
      <selection activeCell="M10" sqref="M10"/>
    </sheetView>
  </sheetViews>
  <sheetFormatPr defaultRowHeight="14.5"/>
  <cols>
    <col min="1" max="1" width="10.7265625" style="458" customWidth="1"/>
    <col min="2" max="2" width="8.7265625" style="458"/>
    <col min="3" max="3" width="16.81640625" style="458" customWidth="1"/>
    <col min="4" max="5" width="8.7265625" style="458"/>
    <col min="6" max="6" width="21.1796875" style="458" customWidth="1"/>
    <col min="7" max="7" width="20.1796875" style="458" customWidth="1"/>
    <col min="8" max="8" width="6.54296875" style="458" customWidth="1"/>
    <col min="9" max="9" width="18.81640625" style="458" customWidth="1"/>
    <col min="10" max="10" width="13.7265625" style="458" bestFit="1" customWidth="1"/>
    <col min="11" max="11" width="17.1796875" style="458" customWidth="1"/>
    <col min="12" max="12" width="18.453125" style="458" customWidth="1"/>
    <col min="13" max="13" width="13.1796875" style="458" bestFit="1" customWidth="1"/>
    <col min="14" max="14" width="12.81640625" style="458" customWidth="1"/>
    <col min="15" max="15" width="15.453125" style="458" customWidth="1"/>
    <col min="16" max="16384" width="8.7265625" style="458"/>
  </cols>
  <sheetData>
    <row r="1" spans="1:13">
      <c r="A1" s="524" t="s">
        <v>223</v>
      </c>
      <c r="B1" s="460"/>
      <c r="C1" s="460"/>
      <c r="D1" s="460"/>
      <c r="E1" s="460"/>
      <c r="F1" s="460"/>
      <c r="G1" s="460"/>
      <c r="H1" s="460"/>
      <c r="I1" s="460"/>
      <c r="J1" s="460"/>
      <c r="K1" s="460"/>
      <c r="L1" s="460"/>
      <c r="M1" s="460"/>
    </row>
    <row r="2" spans="1:13">
      <c r="A2" s="460"/>
      <c r="B2" s="460"/>
      <c r="C2" s="460"/>
      <c r="D2" s="460"/>
      <c r="E2" s="460"/>
      <c r="F2" s="460"/>
      <c r="G2" s="460"/>
      <c r="H2" s="460"/>
      <c r="I2" s="460"/>
      <c r="J2" s="460"/>
      <c r="K2" s="460"/>
      <c r="L2" s="460"/>
      <c r="M2" s="460"/>
    </row>
    <row r="3" spans="1:13">
      <c r="A3" s="460"/>
      <c r="B3" s="460"/>
      <c r="C3" s="460"/>
      <c r="D3" s="460"/>
      <c r="E3" s="460"/>
      <c r="F3" s="460"/>
      <c r="G3" s="460"/>
      <c r="H3" s="460"/>
      <c r="I3" s="460"/>
      <c r="J3" s="460"/>
      <c r="K3" s="460"/>
      <c r="L3" s="460"/>
      <c r="M3" s="460"/>
    </row>
    <row r="4" spans="1:13" ht="28">
      <c r="A4" s="527" t="s">
        <v>17</v>
      </c>
      <c r="B4" s="528" t="s">
        <v>179</v>
      </c>
      <c r="C4" s="637" t="s">
        <v>180</v>
      </c>
      <c r="F4" s="389" t="s">
        <v>17</v>
      </c>
      <c r="G4" s="389" t="s">
        <v>123</v>
      </c>
      <c r="H4" s="460"/>
      <c r="I4" s="638" t="s">
        <v>18</v>
      </c>
      <c r="J4" s="639">
        <v>10000000</v>
      </c>
      <c r="K4" s="460"/>
      <c r="L4" s="460"/>
    </row>
    <row r="5" spans="1:13">
      <c r="A5" s="531">
        <v>43192</v>
      </c>
      <c r="B5" s="532">
        <v>1.8000000000000002E-2</v>
      </c>
      <c r="C5" s="640">
        <v>1</v>
      </c>
      <c r="F5" s="397">
        <v>44696</v>
      </c>
      <c r="G5" s="641">
        <f>VLOOKUP(F5,$A$5:$C$1139,3,FALSE)</f>
        <v>1.0431237900000001</v>
      </c>
      <c r="H5" s="460"/>
      <c r="I5" s="638" t="s">
        <v>133</v>
      </c>
      <c r="J5" s="642">
        <v>44696</v>
      </c>
      <c r="K5" s="460"/>
      <c r="L5" s="460"/>
    </row>
    <row r="6" spans="1:13">
      <c r="A6" s="531">
        <v>43193</v>
      </c>
      <c r="B6" s="532">
        <v>1.83E-2</v>
      </c>
      <c r="C6" s="640">
        <v>1.0000500000000001</v>
      </c>
      <c r="F6" s="643">
        <v>44713</v>
      </c>
      <c r="G6" s="641">
        <f t="shared" ref="G6:G11" si="0">VLOOKUP(F6,$A$5:$C$1139,3,FALSE)</f>
        <v>1.04351039</v>
      </c>
      <c r="H6" s="460"/>
      <c r="I6" s="638" t="s">
        <v>144</v>
      </c>
      <c r="J6" s="642">
        <f>EDATE(J5,6)</f>
        <v>44880</v>
      </c>
      <c r="K6" s="460"/>
      <c r="L6" s="460"/>
    </row>
    <row r="7" spans="1:13">
      <c r="A7" s="531">
        <v>43194</v>
      </c>
      <c r="B7" s="532">
        <v>1.7399999999999999E-2</v>
      </c>
      <c r="C7" s="640">
        <v>1.00010084</v>
      </c>
      <c r="F7" s="643">
        <v>44743</v>
      </c>
      <c r="G7" s="641">
        <f t="shared" si="0"/>
        <v>1.04447779</v>
      </c>
      <c r="H7" s="460"/>
      <c r="I7" s="638" t="s">
        <v>147</v>
      </c>
      <c r="J7" s="644">
        <v>44819</v>
      </c>
      <c r="K7" s="460"/>
      <c r="L7" s="460"/>
    </row>
    <row r="8" spans="1:13">
      <c r="A8" s="531">
        <v>43195</v>
      </c>
      <c r="B8" s="532">
        <v>1.7500000000000002E-2</v>
      </c>
      <c r="C8" s="640">
        <v>1.00014917</v>
      </c>
      <c r="F8" s="643">
        <v>44774</v>
      </c>
      <c r="G8" s="641">
        <f t="shared" si="0"/>
        <v>1.04594159</v>
      </c>
      <c r="H8" s="460"/>
      <c r="I8" s="460"/>
      <c r="J8" s="460"/>
      <c r="K8" s="460"/>
      <c r="L8" s="460"/>
    </row>
    <row r="9" spans="1:13">
      <c r="A9" s="531">
        <v>43196</v>
      </c>
      <c r="B9" s="532">
        <v>1.7500000000000002E-2</v>
      </c>
      <c r="C9" s="640">
        <v>1.0001977900000001</v>
      </c>
      <c r="F9" s="643">
        <v>44788</v>
      </c>
      <c r="G9" s="641">
        <f t="shared" si="0"/>
        <v>1.0468708</v>
      </c>
      <c r="H9" s="460"/>
      <c r="I9" s="460"/>
      <c r="J9" s="460"/>
      <c r="K9" s="460"/>
      <c r="L9" s="460"/>
    </row>
    <row r="10" spans="1:13">
      <c r="A10" s="531">
        <v>43199</v>
      </c>
      <c r="B10" s="532">
        <v>1.7500000000000002E-2</v>
      </c>
      <c r="C10" s="640">
        <v>1.00034365</v>
      </c>
      <c r="F10" s="643">
        <v>44805</v>
      </c>
      <c r="G10" s="641">
        <f t="shared" si="0"/>
        <v>1.04799935</v>
      </c>
      <c r="H10" s="460"/>
      <c r="I10" s="460"/>
      <c r="J10" s="460"/>
      <c r="K10" s="460"/>
      <c r="L10" s="460"/>
    </row>
    <row r="11" spans="1:13">
      <c r="A11" s="531">
        <v>43200</v>
      </c>
      <c r="B11" s="532">
        <v>1.7500000000000002E-2</v>
      </c>
      <c r="C11" s="640">
        <v>1.00039228</v>
      </c>
      <c r="F11" s="387">
        <v>44819</v>
      </c>
      <c r="G11" s="388">
        <f t="shared" si="0"/>
        <v>1.0489303800000001</v>
      </c>
      <c r="H11" s="460"/>
      <c r="I11" s="460"/>
      <c r="J11" s="460"/>
      <c r="K11" s="460"/>
      <c r="L11" s="460"/>
    </row>
    <row r="12" spans="1:13">
      <c r="A12" s="531">
        <v>43201</v>
      </c>
      <c r="B12" s="532">
        <v>1.7600000000000001E-2</v>
      </c>
      <c r="C12" s="640">
        <v>1.00044091</v>
      </c>
      <c r="F12" s="460"/>
      <c r="G12" s="460"/>
      <c r="H12" s="460"/>
      <c r="I12" s="460"/>
      <c r="J12" s="460"/>
      <c r="K12" s="460"/>
      <c r="L12" s="460"/>
    </row>
    <row r="13" spans="1:13" ht="42">
      <c r="A13" s="531">
        <v>43202</v>
      </c>
      <c r="B13" s="532">
        <v>1.7299999999999999E-2</v>
      </c>
      <c r="C13" s="640">
        <v>1.0004898200000001</v>
      </c>
      <c r="F13" s="389" t="s">
        <v>181</v>
      </c>
      <c r="G13" s="389" t="s">
        <v>182</v>
      </c>
      <c r="H13" s="389" t="s">
        <v>183</v>
      </c>
      <c r="I13" s="390" t="s">
        <v>184</v>
      </c>
      <c r="J13" s="390" t="s">
        <v>185</v>
      </c>
      <c r="K13" s="390" t="s">
        <v>186</v>
      </c>
      <c r="L13" s="390" t="s">
        <v>187</v>
      </c>
    </row>
    <row r="14" spans="1:13">
      <c r="A14" s="531">
        <v>43203</v>
      </c>
      <c r="B14" s="532">
        <v>1.72E-2</v>
      </c>
      <c r="C14" s="640">
        <v>1.0005379000000001</v>
      </c>
      <c r="F14" s="396">
        <v>44696</v>
      </c>
      <c r="G14" s="643">
        <v>44713</v>
      </c>
      <c r="H14" s="641">
        <f>G14-F14</f>
        <v>17</v>
      </c>
      <c r="I14" s="641">
        <f>ROUND(((G6-G5)/$G$5)*(360/H14)*100,8)</f>
        <v>0.78483720000000001</v>
      </c>
      <c r="J14" s="645">
        <v>1.5</v>
      </c>
      <c r="K14" s="646">
        <f>I14+J14</f>
        <v>2.2848372000000001</v>
      </c>
      <c r="L14" s="391">
        <f>$J$4*H14*K14/36000</f>
        <v>10789.509</v>
      </c>
    </row>
    <row r="15" spans="1:13">
      <c r="A15" s="531">
        <v>43206</v>
      </c>
      <c r="B15" s="532">
        <v>1.77E-2</v>
      </c>
      <c r="C15" s="640">
        <v>1.00068131</v>
      </c>
      <c r="F15" s="643">
        <v>44713</v>
      </c>
      <c r="G15" s="643">
        <v>44743</v>
      </c>
      <c r="H15" s="641">
        <f>G15-F15</f>
        <v>30</v>
      </c>
      <c r="I15" s="641">
        <f>ROUND(((G7-G6)/$G$5)*(360/H15)*100,8)</f>
        <v>1.11288805</v>
      </c>
      <c r="J15" s="645">
        <v>1.5</v>
      </c>
      <c r="K15" s="646">
        <f t="shared" ref="K15:K18" si="1">I15+J15</f>
        <v>2.61288805</v>
      </c>
      <c r="L15" s="391">
        <f t="shared" ref="L15:L18" si="2">$J$4*H15*K15/36000</f>
        <v>21774.067083333332</v>
      </c>
    </row>
    <row r="16" spans="1:13">
      <c r="A16" s="531">
        <v>43207</v>
      </c>
      <c r="B16" s="532">
        <v>1.7600000000000001E-2</v>
      </c>
      <c r="C16" s="640">
        <v>1.0007305099999999</v>
      </c>
      <c r="F16" s="643">
        <v>44743</v>
      </c>
      <c r="G16" s="643">
        <v>44774</v>
      </c>
      <c r="H16" s="641">
        <f>G16-F16</f>
        <v>31</v>
      </c>
      <c r="I16" s="641">
        <f>ROUND(((G8-G7)/$G$5)*(360/H16)*100,8)</f>
        <v>1.62962133</v>
      </c>
      <c r="J16" s="645">
        <v>1.5</v>
      </c>
      <c r="K16" s="646">
        <f t="shared" si="1"/>
        <v>3.12962133</v>
      </c>
      <c r="L16" s="391">
        <f t="shared" si="2"/>
        <v>26949.517008333332</v>
      </c>
    </row>
    <row r="17" spans="1:14">
      <c r="A17" s="531">
        <v>43208</v>
      </c>
      <c r="B17" s="532">
        <v>1.7500000000000002E-2</v>
      </c>
      <c r="C17" s="640">
        <v>1.0007794400000001</v>
      </c>
      <c r="F17" s="643">
        <v>44774</v>
      </c>
      <c r="G17" s="643">
        <v>44805</v>
      </c>
      <c r="H17" s="641">
        <f>G17-F17</f>
        <v>31</v>
      </c>
      <c r="I17" s="641">
        <f>ROUND(((G10-G8)/$G$5)*(360/H17)*100,8)</f>
        <v>2.2908659500000002</v>
      </c>
      <c r="J17" s="645">
        <v>1.5</v>
      </c>
      <c r="K17" s="646">
        <f t="shared" si="1"/>
        <v>3.7908659500000002</v>
      </c>
      <c r="L17" s="391">
        <f t="shared" si="2"/>
        <v>32643.567902777777</v>
      </c>
    </row>
    <row r="18" spans="1:14">
      <c r="A18" s="531">
        <v>43209</v>
      </c>
      <c r="B18" s="532">
        <v>1.7299999999999999E-2</v>
      </c>
      <c r="C18" s="640">
        <v>1.0008280899999999</v>
      </c>
      <c r="F18" s="643">
        <v>44805</v>
      </c>
      <c r="G18" s="643">
        <v>44819</v>
      </c>
      <c r="H18" s="641">
        <f>G18-F18</f>
        <v>14</v>
      </c>
      <c r="I18" s="641">
        <f>ROUND(((G11-G10)/$G$5)*(360/H18)*100,8)</f>
        <v>2.2951035800000001</v>
      </c>
      <c r="J18" s="645">
        <v>1.5</v>
      </c>
      <c r="K18" s="646">
        <f t="shared" si="1"/>
        <v>3.7951035800000001</v>
      </c>
      <c r="L18" s="391">
        <f t="shared" si="2"/>
        <v>14758.736144444445</v>
      </c>
      <c r="N18" s="647"/>
    </row>
    <row r="19" spans="1:14">
      <c r="A19" s="531">
        <v>43210</v>
      </c>
      <c r="B19" s="532">
        <v>1.72E-2</v>
      </c>
      <c r="C19" s="640">
        <v>1.0008761799999999</v>
      </c>
      <c r="F19" s="398"/>
      <c r="G19" s="398"/>
      <c r="H19" s="399" t="s">
        <v>188</v>
      </c>
      <c r="I19" s="399"/>
      <c r="J19" s="399"/>
      <c r="K19" s="648"/>
      <c r="L19" s="648"/>
    </row>
    <row r="20" spans="1:14">
      <c r="A20" s="531">
        <v>43213</v>
      </c>
      <c r="B20" s="532">
        <v>1.7000000000000001E-2</v>
      </c>
      <c r="C20" s="640">
        <v>1.00101964</v>
      </c>
      <c r="F20" s="649">
        <f>F9</f>
        <v>44788</v>
      </c>
      <c r="G20" s="649">
        <f>F11</f>
        <v>44819</v>
      </c>
      <c r="H20" s="650">
        <f>G20-F20</f>
        <v>31</v>
      </c>
      <c r="I20" s="650">
        <f>ROUND(((G11-G9)/G9)*(360/H20)*100,8)</f>
        <v>2.2846853</v>
      </c>
      <c r="J20" s="651">
        <v>1.5</v>
      </c>
      <c r="K20" s="652">
        <f>I20+J20</f>
        <v>3.7846853</v>
      </c>
      <c r="L20" s="651" t="s">
        <v>206</v>
      </c>
    </row>
    <row r="21" spans="1:14">
      <c r="A21" s="531">
        <v>43214</v>
      </c>
      <c r="B21" s="532">
        <v>1.7100000000000001E-2</v>
      </c>
      <c r="C21" s="640">
        <v>1.00106691</v>
      </c>
      <c r="F21" s="643">
        <v>44819</v>
      </c>
      <c r="G21" s="643">
        <v>44880</v>
      </c>
      <c r="H21" s="641">
        <f>G21-F21</f>
        <v>61</v>
      </c>
      <c r="I21" s="641"/>
      <c r="J21" s="645"/>
      <c r="K21" s="646"/>
      <c r="L21" s="391">
        <f>$J$4*H21*K20/36000</f>
        <v>64129.389805555555</v>
      </c>
    </row>
    <row r="22" spans="1:14">
      <c r="A22" s="531">
        <v>43215</v>
      </c>
      <c r="B22" s="532">
        <v>1.7100000000000001E-2</v>
      </c>
      <c r="C22" s="640">
        <v>1.0011144599999999</v>
      </c>
      <c r="F22" s="392"/>
      <c r="G22" s="392"/>
      <c r="H22" s="393"/>
      <c r="I22" s="393"/>
      <c r="J22" s="393"/>
      <c r="K22" s="394" t="s">
        <v>189</v>
      </c>
      <c r="L22" s="395">
        <f>SUM(L14:L21)</f>
        <v>171044.78694444444</v>
      </c>
    </row>
    <row r="23" spans="1:14">
      <c r="A23" s="531">
        <v>43216</v>
      </c>
      <c r="B23" s="532">
        <v>1.72E-2</v>
      </c>
      <c r="C23" s="640">
        <v>1.00116201</v>
      </c>
    </row>
    <row r="24" spans="1:14">
      <c r="A24" s="531">
        <v>43217</v>
      </c>
      <c r="B24" s="532">
        <v>1.72E-2</v>
      </c>
      <c r="C24" s="640">
        <v>1.00120985</v>
      </c>
    </row>
    <row r="25" spans="1:14">
      <c r="A25" s="531">
        <v>43220</v>
      </c>
      <c r="B25" s="532">
        <v>1.77E-2</v>
      </c>
      <c r="C25" s="640">
        <v>1.00135335</v>
      </c>
    </row>
    <row r="26" spans="1:14">
      <c r="A26" s="531">
        <v>43221</v>
      </c>
      <c r="B26" s="532">
        <v>1.7600000000000001E-2</v>
      </c>
      <c r="C26" s="640">
        <v>1.0014025900000001</v>
      </c>
    </row>
    <row r="27" spans="1:14">
      <c r="A27" s="531">
        <v>43222</v>
      </c>
      <c r="B27" s="532">
        <v>1.7500000000000002E-2</v>
      </c>
      <c r="C27" s="640">
        <v>1.0014515500000001</v>
      </c>
    </row>
    <row r="28" spans="1:14">
      <c r="A28" s="531">
        <v>43223</v>
      </c>
      <c r="B28" s="532">
        <v>1.7399999999999999E-2</v>
      </c>
      <c r="C28" s="640">
        <v>1.00150023</v>
      </c>
    </row>
    <row r="29" spans="1:14">
      <c r="A29" s="531">
        <v>43224</v>
      </c>
      <c r="B29" s="532">
        <v>1.72E-2</v>
      </c>
      <c r="C29" s="640">
        <v>1.0015486300000001</v>
      </c>
    </row>
    <row r="30" spans="1:14">
      <c r="A30" s="531">
        <v>43227</v>
      </c>
      <c r="B30" s="532">
        <v>1.7100000000000001E-2</v>
      </c>
      <c r="C30" s="640">
        <v>1.00169219</v>
      </c>
    </row>
    <row r="31" spans="1:14">
      <c r="A31" s="531">
        <v>43228</v>
      </c>
      <c r="B31" s="532">
        <v>1.72E-2</v>
      </c>
      <c r="C31" s="640">
        <v>1.0017397699999999</v>
      </c>
    </row>
    <row r="32" spans="1:14">
      <c r="A32" s="531">
        <v>43229</v>
      </c>
      <c r="B32" s="532">
        <v>1.72E-2</v>
      </c>
      <c r="C32" s="640">
        <v>1.0017876299999999</v>
      </c>
    </row>
    <row r="33" spans="1:3">
      <c r="A33" s="531">
        <v>43230</v>
      </c>
      <c r="B33" s="532">
        <v>1.7299999999999999E-2</v>
      </c>
      <c r="C33" s="640">
        <v>1.0018354899999999</v>
      </c>
    </row>
    <row r="34" spans="1:3">
      <c r="A34" s="531">
        <v>43231</v>
      </c>
      <c r="B34" s="532">
        <v>1.7299999999999999E-2</v>
      </c>
      <c r="C34" s="640">
        <v>1.00188364</v>
      </c>
    </row>
    <row r="35" spans="1:3">
      <c r="A35" s="531">
        <v>43234</v>
      </c>
      <c r="B35" s="532">
        <v>1.7500000000000002E-2</v>
      </c>
      <c r="C35" s="640">
        <v>1.0020280699999999</v>
      </c>
    </row>
    <row r="36" spans="1:3">
      <c r="A36" s="531">
        <v>43235</v>
      </c>
      <c r="B36" s="532">
        <v>1.7899999999999999E-2</v>
      </c>
      <c r="C36" s="640">
        <v>1.0020767799999999</v>
      </c>
    </row>
    <row r="37" spans="1:3">
      <c r="A37" s="531">
        <v>43236</v>
      </c>
      <c r="B37" s="532">
        <v>1.7500000000000002E-2</v>
      </c>
      <c r="C37" s="640">
        <v>1.0021266099999999</v>
      </c>
    </row>
    <row r="38" spans="1:3">
      <c r="A38" s="531">
        <v>43237</v>
      </c>
      <c r="B38" s="532">
        <v>1.7399999999999999E-2</v>
      </c>
      <c r="C38" s="640">
        <v>1.0021753200000001</v>
      </c>
    </row>
    <row r="39" spans="1:3">
      <c r="A39" s="531">
        <v>43238</v>
      </c>
      <c r="B39" s="532">
        <v>1.7299999999999999E-2</v>
      </c>
      <c r="C39" s="640">
        <v>1.0022237599999999</v>
      </c>
    </row>
    <row r="40" spans="1:3">
      <c r="A40" s="531">
        <v>43241</v>
      </c>
      <c r="B40" s="532">
        <v>1.6899999999999998E-2</v>
      </c>
      <c r="C40" s="640">
        <v>1.00236825</v>
      </c>
    </row>
    <row r="41" spans="1:3">
      <c r="A41" s="531">
        <v>43242</v>
      </c>
      <c r="B41" s="532">
        <v>1.6500000000000001E-2</v>
      </c>
      <c r="C41" s="640">
        <v>1.0024153099999999</v>
      </c>
    </row>
    <row r="42" spans="1:3">
      <c r="A42" s="531">
        <v>43243</v>
      </c>
      <c r="B42" s="532">
        <v>1.67E-2</v>
      </c>
      <c r="C42" s="640">
        <v>1.0024612500000001</v>
      </c>
    </row>
    <row r="43" spans="1:3">
      <c r="A43" s="531">
        <v>43244</v>
      </c>
      <c r="B43" s="532">
        <v>1.7399999999999999E-2</v>
      </c>
      <c r="C43" s="640">
        <v>1.0025077499999999</v>
      </c>
    </row>
    <row r="44" spans="1:3">
      <c r="A44" s="531">
        <v>43245</v>
      </c>
      <c r="B44" s="532">
        <v>1.7299999999999999E-2</v>
      </c>
      <c r="C44" s="640">
        <v>1.0025562100000001</v>
      </c>
    </row>
    <row r="45" spans="1:3">
      <c r="A45" s="531">
        <v>43249</v>
      </c>
      <c r="B45" s="532">
        <v>1.72E-2</v>
      </c>
      <c r="C45" s="640">
        <v>1.0027489199999999</v>
      </c>
    </row>
    <row r="46" spans="1:3">
      <c r="A46" s="531">
        <v>43250</v>
      </c>
      <c r="B46" s="532">
        <v>1.72E-2</v>
      </c>
      <c r="C46" s="640">
        <v>1.0027968300000001</v>
      </c>
    </row>
    <row r="47" spans="1:3">
      <c r="A47" s="531">
        <v>43251</v>
      </c>
      <c r="B47" s="532">
        <v>1.8100000000000002E-2</v>
      </c>
      <c r="C47" s="640">
        <v>1.00284474</v>
      </c>
    </row>
    <row r="48" spans="1:3">
      <c r="A48" s="531">
        <v>43252</v>
      </c>
      <c r="B48" s="532">
        <v>1.8100000000000002E-2</v>
      </c>
      <c r="C48" s="640">
        <v>1.00289516</v>
      </c>
    </row>
    <row r="49" spans="1:3">
      <c r="A49" s="531">
        <v>43255</v>
      </c>
      <c r="B49" s="532">
        <v>1.8000000000000002E-2</v>
      </c>
      <c r="C49" s="640">
        <v>1.0030464299999999</v>
      </c>
    </row>
    <row r="50" spans="1:3">
      <c r="A50" s="531">
        <v>43256</v>
      </c>
      <c r="B50" s="532">
        <v>1.7500000000000002E-2</v>
      </c>
      <c r="C50" s="640">
        <v>1.00309658</v>
      </c>
    </row>
    <row r="51" spans="1:3">
      <c r="A51" s="531">
        <v>43257</v>
      </c>
      <c r="B51" s="532">
        <v>1.7299999999999999E-2</v>
      </c>
      <c r="C51" s="640">
        <v>1.00314535</v>
      </c>
    </row>
    <row r="52" spans="1:3">
      <c r="A52" s="531">
        <v>43258</v>
      </c>
      <c r="B52" s="532">
        <v>1.7100000000000001E-2</v>
      </c>
      <c r="C52" s="640">
        <v>1.00319355</v>
      </c>
    </row>
    <row r="53" spans="1:3">
      <c r="A53" s="531">
        <v>43259</v>
      </c>
      <c r="B53" s="532">
        <v>1.6899999999999998E-2</v>
      </c>
      <c r="C53" s="640">
        <v>1.0032411999999999</v>
      </c>
    </row>
    <row r="54" spans="1:3">
      <c r="A54" s="531">
        <v>43262</v>
      </c>
      <c r="B54" s="532">
        <v>1.6899999999999998E-2</v>
      </c>
      <c r="C54" s="640">
        <v>1.0033824899999999</v>
      </c>
    </row>
    <row r="55" spans="1:3">
      <c r="A55" s="531">
        <v>43263</v>
      </c>
      <c r="B55" s="532">
        <v>1.67E-2</v>
      </c>
      <c r="C55" s="640">
        <v>1.0034296</v>
      </c>
    </row>
    <row r="56" spans="1:3">
      <c r="A56" s="531">
        <v>43264</v>
      </c>
      <c r="B56" s="532">
        <v>1.7100000000000001E-2</v>
      </c>
      <c r="C56" s="640">
        <v>1.00347615</v>
      </c>
    </row>
    <row r="57" spans="1:3">
      <c r="A57" s="531">
        <v>43265</v>
      </c>
      <c r="B57" s="532">
        <v>1.9E-2</v>
      </c>
      <c r="C57" s="640">
        <v>1.0035238099999999</v>
      </c>
    </row>
    <row r="58" spans="1:3">
      <c r="A58" s="531">
        <v>43266</v>
      </c>
      <c r="B58" s="532">
        <v>1.9099999999999999E-2</v>
      </c>
      <c r="C58" s="640">
        <v>1.00357677</v>
      </c>
    </row>
    <row r="59" spans="1:3">
      <c r="A59" s="531">
        <v>43269</v>
      </c>
      <c r="B59" s="532">
        <v>1.9E-2</v>
      </c>
      <c r="C59" s="640">
        <v>1.00373651</v>
      </c>
    </row>
    <row r="60" spans="1:3">
      <c r="A60" s="531">
        <v>43270</v>
      </c>
      <c r="B60" s="532">
        <v>1.8799999999999997E-2</v>
      </c>
      <c r="C60" s="640">
        <v>1.00378949</v>
      </c>
    </row>
    <row r="61" spans="1:3">
      <c r="A61" s="531">
        <v>43271</v>
      </c>
      <c r="B61" s="532">
        <v>1.8700000000000001E-2</v>
      </c>
      <c r="C61" s="640">
        <v>1.00384191</v>
      </c>
    </row>
    <row r="62" spans="1:3">
      <c r="A62" s="531">
        <v>43272</v>
      </c>
      <c r="B62" s="532">
        <v>1.8700000000000001E-2</v>
      </c>
      <c r="C62" s="640">
        <v>1.00389405</v>
      </c>
    </row>
    <row r="63" spans="1:3">
      <c r="A63" s="531">
        <v>43273</v>
      </c>
      <c r="B63" s="532">
        <v>1.9199999999999998E-2</v>
      </c>
      <c r="C63" s="640">
        <v>1.0039461999999999</v>
      </c>
    </row>
    <row r="64" spans="1:3">
      <c r="A64" s="531">
        <v>43276</v>
      </c>
      <c r="B64" s="532">
        <v>1.9099999999999999E-2</v>
      </c>
      <c r="C64" s="640">
        <v>1.00410683</v>
      </c>
    </row>
    <row r="65" spans="1:3">
      <c r="A65" s="531">
        <v>43277</v>
      </c>
      <c r="B65" s="532">
        <v>1.9E-2</v>
      </c>
      <c r="C65" s="640">
        <v>1.0041601</v>
      </c>
    </row>
    <row r="66" spans="1:3">
      <c r="A66" s="531">
        <v>43278</v>
      </c>
      <c r="B66" s="532">
        <v>1.9E-2</v>
      </c>
      <c r="C66" s="640">
        <v>1.0042131000000001</v>
      </c>
    </row>
    <row r="67" spans="1:3">
      <c r="A67" s="531">
        <v>43279</v>
      </c>
      <c r="B67" s="532">
        <v>1.9299999999999998E-2</v>
      </c>
      <c r="C67" s="640">
        <v>1.0042660999999999</v>
      </c>
    </row>
    <row r="68" spans="1:3">
      <c r="A68" s="531">
        <v>43280</v>
      </c>
      <c r="B68" s="532">
        <v>2.12E-2</v>
      </c>
      <c r="C68" s="640">
        <v>1.00431994</v>
      </c>
    </row>
    <row r="69" spans="1:3">
      <c r="A69" s="531">
        <v>43283</v>
      </c>
      <c r="B69" s="532">
        <v>2.0400000000000001E-2</v>
      </c>
      <c r="C69" s="640">
        <v>1.0044973699999999</v>
      </c>
    </row>
    <row r="70" spans="1:3">
      <c r="A70" s="531">
        <v>43284</v>
      </c>
      <c r="B70" s="532">
        <v>0.02</v>
      </c>
      <c r="C70" s="640">
        <v>1.00455429</v>
      </c>
    </row>
    <row r="71" spans="1:3">
      <c r="A71" s="531">
        <v>43286</v>
      </c>
      <c r="B71" s="532">
        <v>1.9699999999999999E-2</v>
      </c>
      <c r="C71" s="640">
        <v>1.0046659099999999</v>
      </c>
    </row>
    <row r="72" spans="1:3">
      <c r="A72" s="531">
        <v>43287</v>
      </c>
      <c r="B72" s="532">
        <v>1.9299999999999998E-2</v>
      </c>
      <c r="C72" s="640">
        <v>1.00472088</v>
      </c>
    </row>
    <row r="73" spans="1:3">
      <c r="A73" s="531">
        <v>43290</v>
      </c>
      <c r="B73" s="532">
        <v>1.89E-2</v>
      </c>
      <c r="C73" s="640">
        <v>1.00488248</v>
      </c>
    </row>
    <row r="74" spans="1:3">
      <c r="A74" s="531">
        <v>43291</v>
      </c>
      <c r="B74" s="532">
        <v>1.89E-2</v>
      </c>
      <c r="C74" s="640">
        <v>1.0049352300000001</v>
      </c>
    </row>
    <row r="75" spans="1:3">
      <c r="A75" s="531">
        <v>43292</v>
      </c>
      <c r="B75" s="532">
        <v>1.89E-2</v>
      </c>
      <c r="C75" s="640">
        <v>1.0049879900000001</v>
      </c>
    </row>
    <row r="76" spans="1:3">
      <c r="A76" s="531">
        <v>43293</v>
      </c>
      <c r="B76" s="532">
        <v>1.9E-2</v>
      </c>
      <c r="C76" s="640">
        <v>1.00504075</v>
      </c>
    </row>
    <row r="77" spans="1:3">
      <c r="A77" s="531">
        <v>43294</v>
      </c>
      <c r="B77" s="532">
        <v>1.9E-2</v>
      </c>
      <c r="C77" s="640">
        <v>1.0050938</v>
      </c>
    </row>
    <row r="78" spans="1:3">
      <c r="A78" s="531">
        <v>43297</v>
      </c>
      <c r="B78" s="532">
        <v>1.95E-2</v>
      </c>
      <c r="C78" s="640">
        <v>1.0052529400000001</v>
      </c>
    </row>
    <row r="79" spans="1:3">
      <c r="A79" s="531">
        <v>43298</v>
      </c>
      <c r="B79" s="532">
        <v>1.9199999999999998E-2</v>
      </c>
      <c r="C79" s="640">
        <v>1.00530739</v>
      </c>
    </row>
    <row r="80" spans="1:3">
      <c r="A80" s="531">
        <v>43299</v>
      </c>
      <c r="B80" s="532">
        <v>1.9E-2</v>
      </c>
      <c r="C80" s="640">
        <v>1.0053610100000001</v>
      </c>
    </row>
    <row r="81" spans="1:3">
      <c r="A81" s="531">
        <v>43300</v>
      </c>
      <c r="B81" s="532">
        <v>1.9E-2</v>
      </c>
      <c r="C81" s="640">
        <v>1.00541407</v>
      </c>
    </row>
    <row r="82" spans="1:3">
      <c r="A82" s="531">
        <v>43301</v>
      </c>
      <c r="B82" s="532">
        <v>1.8799999999999997E-2</v>
      </c>
      <c r="C82" s="640">
        <v>1.00546713</v>
      </c>
    </row>
    <row r="83" spans="1:3">
      <c r="A83" s="531">
        <v>43304</v>
      </c>
      <c r="B83" s="532">
        <v>1.8700000000000001E-2</v>
      </c>
      <c r="C83" s="640">
        <v>1.0056246499999999</v>
      </c>
    </row>
    <row r="84" spans="1:3">
      <c r="A84" s="531">
        <v>43305</v>
      </c>
      <c r="B84" s="532">
        <v>1.9E-2</v>
      </c>
      <c r="C84" s="640">
        <v>1.0056768899999999</v>
      </c>
    </row>
    <row r="85" spans="1:3">
      <c r="A85" s="531">
        <v>43306</v>
      </c>
      <c r="B85" s="532">
        <v>1.8700000000000001E-2</v>
      </c>
      <c r="C85" s="640">
        <v>1.00572997</v>
      </c>
    </row>
    <row r="86" spans="1:3">
      <c r="A86" s="531">
        <v>43307</v>
      </c>
      <c r="B86" s="532">
        <v>1.9E-2</v>
      </c>
      <c r="C86" s="640">
        <v>1.00578221</v>
      </c>
    </row>
    <row r="87" spans="1:3">
      <c r="A87" s="531">
        <v>43308</v>
      </c>
      <c r="B87" s="532">
        <v>1.8799999999999997E-2</v>
      </c>
      <c r="C87" s="640">
        <v>1.00583529</v>
      </c>
    </row>
    <row r="88" spans="1:3">
      <c r="A88" s="531">
        <v>43311</v>
      </c>
      <c r="B88" s="532">
        <v>1.8799999999999997E-2</v>
      </c>
      <c r="C88" s="640">
        <v>1.00599287</v>
      </c>
    </row>
    <row r="89" spans="1:3">
      <c r="A89" s="531">
        <v>43312</v>
      </c>
      <c r="B89" s="532">
        <v>1.9299999999999998E-2</v>
      </c>
      <c r="C89" s="640">
        <v>1.00604541</v>
      </c>
    </row>
    <row r="90" spans="1:3">
      <c r="A90" s="531">
        <v>43313</v>
      </c>
      <c r="B90" s="532">
        <v>1.8799999999999997E-2</v>
      </c>
      <c r="C90" s="640">
        <v>1.00609934</v>
      </c>
    </row>
    <row r="91" spans="1:3">
      <c r="A91" s="531">
        <v>43314</v>
      </c>
      <c r="B91" s="532">
        <v>1.9099999999999999E-2</v>
      </c>
      <c r="C91" s="640">
        <v>1.00615188</v>
      </c>
    </row>
    <row r="92" spans="1:3">
      <c r="A92" s="531">
        <v>43315</v>
      </c>
      <c r="B92" s="532">
        <v>1.8600000000000002E-2</v>
      </c>
      <c r="C92" s="640">
        <v>1.0062052699999999</v>
      </c>
    </row>
    <row r="93" spans="1:3">
      <c r="A93" s="531">
        <v>43318</v>
      </c>
      <c r="B93" s="532">
        <v>1.8600000000000002E-2</v>
      </c>
      <c r="C93" s="640">
        <v>1.00636123</v>
      </c>
    </row>
    <row r="94" spans="1:3">
      <c r="A94" s="531">
        <v>43319</v>
      </c>
      <c r="B94" s="532">
        <v>1.8700000000000001E-2</v>
      </c>
      <c r="C94" s="640">
        <v>1.00641322</v>
      </c>
    </row>
    <row r="95" spans="1:3">
      <c r="A95" s="531">
        <v>43320</v>
      </c>
      <c r="B95" s="532">
        <v>1.8799999999999997E-2</v>
      </c>
      <c r="C95" s="640">
        <v>1.0064655</v>
      </c>
    </row>
    <row r="96" spans="1:3">
      <c r="A96" s="531">
        <v>43321</v>
      </c>
      <c r="B96" s="532">
        <v>1.9099999999999999E-2</v>
      </c>
      <c r="C96" s="640">
        <v>1.0065180600000001</v>
      </c>
    </row>
    <row r="97" spans="1:3">
      <c r="A97" s="531">
        <v>43322</v>
      </c>
      <c r="B97" s="532">
        <v>1.9E-2</v>
      </c>
      <c r="C97" s="640">
        <v>1.00657146</v>
      </c>
    </row>
    <row r="98" spans="1:3">
      <c r="A98" s="531">
        <v>43325</v>
      </c>
      <c r="B98" s="532">
        <v>1.9099999999999999E-2</v>
      </c>
      <c r="C98" s="640">
        <v>1.0067308399999999</v>
      </c>
    </row>
    <row r="99" spans="1:3">
      <c r="A99" s="531">
        <v>43326</v>
      </c>
      <c r="B99" s="532">
        <v>1.9299999999999998E-2</v>
      </c>
      <c r="C99" s="640">
        <v>1.0067842499999999</v>
      </c>
    </row>
    <row r="100" spans="1:3">
      <c r="A100" s="531">
        <v>43327</v>
      </c>
      <c r="B100" s="532">
        <v>1.9799999999999998E-2</v>
      </c>
      <c r="C100" s="640">
        <v>1.0068382199999999</v>
      </c>
    </row>
    <row r="101" spans="1:3">
      <c r="A101" s="531">
        <v>43328</v>
      </c>
      <c r="B101" s="532">
        <v>1.9900000000000001E-2</v>
      </c>
      <c r="C101" s="640">
        <v>1.0068935999999999</v>
      </c>
    </row>
    <row r="102" spans="1:3">
      <c r="A102" s="531">
        <v>43329</v>
      </c>
      <c r="B102" s="532">
        <v>1.9E-2</v>
      </c>
      <c r="C102" s="640">
        <v>1.0069492600000001</v>
      </c>
    </row>
    <row r="103" spans="1:3">
      <c r="A103" s="531">
        <v>43332</v>
      </c>
      <c r="B103" s="532">
        <v>1.9E-2</v>
      </c>
      <c r="C103" s="640">
        <v>1.0071086899999999</v>
      </c>
    </row>
    <row r="104" spans="1:3">
      <c r="A104" s="531">
        <v>43333</v>
      </c>
      <c r="B104" s="532">
        <v>1.9E-2</v>
      </c>
      <c r="C104" s="640">
        <v>1.00716184</v>
      </c>
    </row>
    <row r="105" spans="1:3">
      <c r="A105" s="531">
        <v>43334</v>
      </c>
      <c r="B105" s="532">
        <v>1.9E-2</v>
      </c>
      <c r="C105" s="640">
        <v>1.007215</v>
      </c>
    </row>
    <row r="106" spans="1:3">
      <c r="A106" s="531">
        <v>43335</v>
      </c>
      <c r="B106" s="532">
        <v>1.9400000000000001E-2</v>
      </c>
      <c r="C106" s="640">
        <v>1.00726816</v>
      </c>
    </row>
    <row r="107" spans="1:3">
      <c r="A107" s="531">
        <v>43336</v>
      </c>
      <c r="B107" s="532">
        <v>1.95E-2</v>
      </c>
      <c r="C107" s="640">
        <v>1.00732244</v>
      </c>
    </row>
    <row r="108" spans="1:3">
      <c r="A108" s="531">
        <v>43339</v>
      </c>
      <c r="B108" s="532">
        <v>1.95E-2</v>
      </c>
      <c r="C108" s="640">
        <v>1.00748613</v>
      </c>
    </row>
    <row r="109" spans="1:3">
      <c r="A109" s="531">
        <v>43340</v>
      </c>
      <c r="B109" s="532">
        <v>1.95E-2</v>
      </c>
      <c r="C109" s="640">
        <v>1.0075407000000001</v>
      </c>
    </row>
    <row r="110" spans="1:3">
      <c r="A110" s="531">
        <v>43341</v>
      </c>
      <c r="B110" s="532">
        <v>1.9299999999999998E-2</v>
      </c>
      <c r="C110" s="640">
        <v>1.0075952800000001</v>
      </c>
    </row>
    <row r="111" spans="1:3">
      <c r="A111" s="531">
        <v>43342</v>
      </c>
      <c r="B111" s="532">
        <v>1.9299999999999998E-2</v>
      </c>
      <c r="C111" s="640">
        <v>1.0076493</v>
      </c>
    </row>
    <row r="112" spans="1:3">
      <c r="A112" s="531">
        <v>43343</v>
      </c>
      <c r="B112" s="532">
        <v>1.9699999999999999E-2</v>
      </c>
      <c r="C112" s="640">
        <v>1.0077033200000001</v>
      </c>
    </row>
    <row r="113" spans="1:3">
      <c r="A113" s="531">
        <v>43347</v>
      </c>
      <c r="B113" s="532">
        <v>1.95E-2</v>
      </c>
      <c r="C113" s="640">
        <v>1.00792389</v>
      </c>
    </row>
    <row r="114" spans="1:3">
      <c r="A114" s="531">
        <v>43348</v>
      </c>
      <c r="B114" s="532">
        <v>1.95E-2</v>
      </c>
      <c r="C114" s="640">
        <v>1.0079784899999999</v>
      </c>
    </row>
    <row r="115" spans="1:3">
      <c r="A115" s="531">
        <v>43349</v>
      </c>
      <c r="B115" s="532">
        <v>1.9400000000000001E-2</v>
      </c>
      <c r="C115" s="640">
        <v>1.0080330900000001</v>
      </c>
    </row>
    <row r="116" spans="1:3">
      <c r="A116" s="531">
        <v>43350</v>
      </c>
      <c r="B116" s="532">
        <v>1.9400000000000001E-2</v>
      </c>
      <c r="C116" s="640">
        <v>1.0080874099999999</v>
      </c>
    </row>
    <row r="117" spans="1:3">
      <c r="A117" s="531">
        <v>43353</v>
      </c>
      <c r="B117" s="532">
        <v>1.9400000000000001E-2</v>
      </c>
      <c r="C117" s="640">
        <v>1.00825038</v>
      </c>
    </row>
    <row r="118" spans="1:3">
      <c r="A118" s="531">
        <v>43354</v>
      </c>
      <c r="B118" s="532">
        <v>1.9400000000000001E-2</v>
      </c>
      <c r="C118" s="640">
        <v>1.0083047199999999</v>
      </c>
    </row>
    <row r="119" spans="1:3">
      <c r="A119" s="531">
        <v>43355</v>
      </c>
      <c r="B119" s="532">
        <v>1.9400000000000001E-2</v>
      </c>
      <c r="C119" s="640">
        <v>1.0083590499999999</v>
      </c>
    </row>
    <row r="120" spans="1:3">
      <c r="A120" s="531">
        <v>43356</v>
      </c>
      <c r="B120" s="532">
        <v>1.9400000000000001E-2</v>
      </c>
      <c r="C120" s="640">
        <v>1.0084133900000001</v>
      </c>
    </row>
    <row r="121" spans="1:3">
      <c r="A121" s="531">
        <v>43357</v>
      </c>
      <c r="B121" s="532">
        <v>1.95E-2</v>
      </c>
      <c r="C121" s="640">
        <v>1.00846773</v>
      </c>
    </row>
    <row r="122" spans="1:3">
      <c r="A122" s="531">
        <v>43360</v>
      </c>
      <c r="B122" s="532">
        <v>0.02</v>
      </c>
      <c r="C122" s="640">
        <v>1.0086316099999999</v>
      </c>
    </row>
    <row r="123" spans="1:3">
      <c r="A123" s="531">
        <v>43361</v>
      </c>
      <c r="B123" s="532">
        <v>1.9400000000000001E-2</v>
      </c>
      <c r="C123" s="640">
        <v>1.00868764</v>
      </c>
    </row>
    <row r="124" spans="1:3">
      <c r="A124" s="531">
        <v>43362</v>
      </c>
      <c r="B124" s="532">
        <v>1.9199999999999998E-2</v>
      </c>
      <c r="C124" s="640">
        <v>1.008742</v>
      </c>
    </row>
    <row r="125" spans="1:3">
      <c r="A125" s="531">
        <v>43363</v>
      </c>
      <c r="B125" s="532">
        <v>1.9199999999999998E-2</v>
      </c>
      <c r="C125" s="640">
        <v>1.0087957999999999</v>
      </c>
    </row>
    <row r="126" spans="1:3">
      <c r="A126" s="531">
        <v>43364</v>
      </c>
      <c r="B126" s="532">
        <v>1.9199999999999998E-2</v>
      </c>
      <c r="C126" s="640">
        <v>1.0088496</v>
      </c>
    </row>
    <row r="127" spans="1:3">
      <c r="A127" s="531">
        <v>43367</v>
      </c>
      <c r="B127" s="532">
        <v>1.95E-2</v>
      </c>
      <c r="C127" s="640">
        <v>1.00901102</v>
      </c>
    </row>
    <row r="128" spans="1:3">
      <c r="A128" s="531">
        <v>43368</v>
      </c>
      <c r="B128" s="532">
        <v>1.9299999999999998E-2</v>
      </c>
      <c r="C128" s="640">
        <v>1.00906567</v>
      </c>
    </row>
    <row r="129" spans="1:3">
      <c r="A129" s="531">
        <v>43369</v>
      </c>
      <c r="B129" s="532">
        <v>1.9199999999999998E-2</v>
      </c>
      <c r="C129" s="640">
        <v>1.0091197700000001</v>
      </c>
    </row>
    <row r="130" spans="1:3">
      <c r="A130" s="531">
        <v>43370</v>
      </c>
      <c r="B130" s="532">
        <v>2.1600000000000001E-2</v>
      </c>
      <c r="C130" s="640">
        <v>1.0091735900000001</v>
      </c>
    </row>
    <row r="131" spans="1:3">
      <c r="A131" s="531">
        <v>43371</v>
      </c>
      <c r="B131" s="532">
        <v>2.2499999999999999E-2</v>
      </c>
      <c r="C131" s="640">
        <v>1.00923414</v>
      </c>
    </row>
    <row r="132" spans="1:3">
      <c r="A132" s="531">
        <v>43374</v>
      </c>
      <c r="B132" s="532">
        <v>2.2200000000000001E-2</v>
      </c>
      <c r="C132" s="640">
        <v>1.0094233699999999</v>
      </c>
    </row>
    <row r="133" spans="1:3">
      <c r="A133" s="531">
        <v>43375</v>
      </c>
      <c r="B133" s="532">
        <v>2.2000000000000002E-2</v>
      </c>
      <c r="C133" s="640">
        <v>1.00948562</v>
      </c>
    </row>
    <row r="134" spans="1:3">
      <c r="A134" s="531">
        <v>43376</v>
      </c>
      <c r="B134" s="532">
        <v>2.2000000000000002E-2</v>
      </c>
      <c r="C134" s="640">
        <v>1.0095473100000001</v>
      </c>
    </row>
    <row r="135" spans="1:3">
      <c r="A135" s="531">
        <v>43377</v>
      </c>
      <c r="B135" s="532">
        <v>2.18E-2</v>
      </c>
      <c r="C135" s="640">
        <v>1.0096090099999999</v>
      </c>
    </row>
    <row r="136" spans="1:3">
      <c r="A136" s="531">
        <v>43378</v>
      </c>
      <c r="B136" s="532">
        <v>2.1600000000000001E-2</v>
      </c>
      <c r="C136" s="640">
        <v>1.0096701400000001</v>
      </c>
    </row>
    <row r="137" spans="1:3">
      <c r="A137" s="531">
        <v>43382</v>
      </c>
      <c r="B137" s="532">
        <v>2.1499999999999998E-2</v>
      </c>
      <c r="C137" s="640">
        <v>1.00991246</v>
      </c>
    </row>
    <row r="138" spans="1:3">
      <c r="A138" s="531">
        <v>43383</v>
      </c>
      <c r="B138" s="532">
        <v>2.1499999999999998E-2</v>
      </c>
      <c r="C138" s="640">
        <v>1.00997278</v>
      </c>
    </row>
    <row r="139" spans="1:3">
      <c r="A139" s="531">
        <v>43384</v>
      </c>
      <c r="B139" s="532">
        <v>2.1700000000000001E-2</v>
      </c>
      <c r="C139" s="640">
        <v>1.0100331</v>
      </c>
    </row>
    <row r="140" spans="1:3">
      <c r="A140" s="531">
        <v>43385</v>
      </c>
      <c r="B140" s="532">
        <v>2.18E-2</v>
      </c>
      <c r="C140" s="640">
        <v>1.0100939799999999</v>
      </c>
    </row>
    <row r="141" spans="1:3">
      <c r="A141" s="531">
        <v>43388</v>
      </c>
      <c r="B141" s="532">
        <v>2.2099999999999998E-2</v>
      </c>
      <c r="C141" s="640">
        <v>1.0102774800000001</v>
      </c>
    </row>
    <row r="142" spans="1:3">
      <c r="A142" s="531">
        <v>43389</v>
      </c>
      <c r="B142" s="532">
        <v>2.18E-2</v>
      </c>
      <c r="C142" s="640">
        <v>1.0103394999999999</v>
      </c>
    </row>
    <row r="143" spans="1:3">
      <c r="A143" s="531">
        <v>43390</v>
      </c>
      <c r="B143" s="532">
        <v>2.18E-2</v>
      </c>
      <c r="C143" s="640">
        <v>1.0104006800000001</v>
      </c>
    </row>
    <row r="144" spans="1:3">
      <c r="A144" s="531">
        <v>43391</v>
      </c>
      <c r="B144" s="532">
        <v>2.1899999999999999E-2</v>
      </c>
      <c r="C144" s="640">
        <v>1.0104618700000001</v>
      </c>
    </row>
    <row r="145" spans="1:3">
      <c r="A145" s="531">
        <v>43392</v>
      </c>
      <c r="B145" s="532">
        <v>2.1899999999999999E-2</v>
      </c>
      <c r="C145" s="640">
        <v>1.01052334</v>
      </c>
    </row>
    <row r="146" spans="1:3">
      <c r="A146" s="531">
        <v>43395</v>
      </c>
      <c r="B146" s="532">
        <v>2.18E-2</v>
      </c>
      <c r="C146" s="640">
        <v>1.0107077600000001</v>
      </c>
    </row>
    <row r="147" spans="1:3">
      <c r="A147" s="531">
        <v>43396</v>
      </c>
      <c r="B147" s="532">
        <v>2.1700000000000001E-2</v>
      </c>
      <c r="C147" s="640">
        <v>1.01076896</v>
      </c>
    </row>
    <row r="148" spans="1:3">
      <c r="A148" s="531">
        <v>43397</v>
      </c>
      <c r="B148" s="532">
        <v>2.18E-2</v>
      </c>
      <c r="C148" s="640">
        <v>1.0108298899999999</v>
      </c>
    </row>
    <row r="149" spans="1:3">
      <c r="A149" s="531">
        <v>43398</v>
      </c>
      <c r="B149" s="532">
        <v>2.1899999999999999E-2</v>
      </c>
      <c r="C149" s="640">
        <v>1.0108911</v>
      </c>
    </row>
    <row r="150" spans="1:3">
      <c r="A150" s="531">
        <v>43399</v>
      </c>
      <c r="B150" s="532">
        <v>2.1899999999999999E-2</v>
      </c>
      <c r="C150" s="640">
        <v>1.01095259</v>
      </c>
    </row>
    <row r="151" spans="1:3">
      <c r="A151" s="531">
        <v>43402</v>
      </c>
      <c r="B151" s="532">
        <v>2.18E-2</v>
      </c>
      <c r="C151" s="640">
        <v>1.0111370900000001</v>
      </c>
    </row>
    <row r="152" spans="1:3">
      <c r="A152" s="531">
        <v>43403</v>
      </c>
      <c r="B152" s="532">
        <v>2.18E-2</v>
      </c>
      <c r="C152" s="640">
        <v>1.0111983200000001</v>
      </c>
    </row>
    <row r="153" spans="1:3">
      <c r="A153" s="531">
        <v>43404</v>
      </c>
      <c r="B153" s="532">
        <v>2.2200000000000001E-2</v>
      </c>
      <c r="C153" s="640">
        <v>1.0112595600000001</v>
      </c>
    </row>
    <row r="154" spans="1:3">
      <c r="A154" s="531">
        <v>43405</v>
      </c>
      <c r="B154" s="532">
        <v>2.2200000000000001E-2</v>
      </c>
      <c r="C154" s="640">
        <v>1.0113219200000001</v>
      </c>
    </row>
    <row r="155" spans="1:3">
      <c r="A155" s="531">
        <v>43406</v>
      </c>
      <c r="B155" s="532">
        <v>2.2499999999999999E-2</v>
      </c>
      <c r="C155" s="640">
        <v>1.0113842799999999</v>
      </c>
    </row>
    <row r="156" spans="1:3">
      <c r="A156" s="531">
        <v>43409</v>
      </c>
      <c r="B156" s="532">
        <v>2.2400000000000003E-2</v>
      </c>
      <c r="C156" s="640">
        <v>1.01157392</v>
      </c>
    </row>
    <row r="157" spans="1:3">
      <c r="A157" s="531">
        <v>43410</v>
      </c>
      <c r="B157" s="532">
        <v>2.2200000000000001E-2</v>
      </c>
      <c r="C157" s="640">
        <v>1.0116368600000001</v>
      </c>
    </row>
    <row r="158" spans="1:3">
      <c r="A158" s="531">
        <v>43411</v>
      </c>
      <c r="B158" s="532">
        <v>2.18E-2</v>
      </c>
      <c r="C158" s="640">
        <v>1.01169924</v>
      </c>
    </row>
    <row r="159" spans="1:3">
      <c r="A159" s="531">
        <v>43412</v>
      </c>
      <c r="B159" s="532">
        <v>2.2099999999999998E-2</v>
      </c>
      <c r="C159" s="640">
        <v>1.01176051</v>
      </c>
    </row>
    <row r="160" spans="1:3">
      <c r="A160" s="531">
        <v>43413</v>
      </c>
      <c r="B160" s="532">
        <v>2.2000000000000002E-2</v>
      </c>
      <c r="C160" s="640">
        <v>1.01182262</v>
      </c>
    </row>
    <row r="161" spans="1:3">
      <c r="A161" s="531">
        <v>43417</v>
      </c>
      <c r="B161" s="532">
        <v>2.2000000000000002E-2</v>
      </c>
      <c r="C161" s="640">
        <v>1.0120699500000001</v>
      </c>
    </row>
    <row r="162" spans="1:3">
      <c r="A162" s="531">
        <v>43418</v>
      </c>
      <c r="B162" s="532">
        <v>2.2000000000000002E-2</v>
      </c>
      <c r="C162" s="640">
        <v>1.0121317999999999</v>
      </c>
    </row>
    <row r="163" spans="1:3">
      <c r="A163" s="531">
        <v>43419</v>
      </c>
      <c r="B163" s="532">
        <v>2.2799999999999997E-2</v>
      </c>
      <c r="C163" s="640">
        <v>1.0121936499999999</v>
      </c>
    </row>
    <row r="164" spans="1:3">
      <c r="A164" s="531">
        <v>43420</v>
      </c>
      <c r="B164" s="532">
        <v>2.2599999999999999E-2</v>
      </c>
      <c r="C164" s="640">
        <v>1.01225776</v>
      </c>
    </row>
    <row r="165" spans="1:3">
      <c r="A165" s="531">
        <v>43423</v>
      </c>
      <c r="B165" s="532">
        <v>2.2400000000000003E-2</v>
      </c>
      <c r="C165" s="640">
        <v>1.0124484</v>
      </c>
    </row>
    <row r="166" spans="1:3">
      <c r="A166" s="531">
        <v>43424</v>
      </c>
      <c r="B166" s="532">
        <v>2.2000000000000002E-2</v>
      </c>
      <c r="C166" s="640">
        <v>1.0125114</v>
      </c>
    </row>
    <row r="167" spans="1:3">
      <c r="A167" s="531">
        <v>43425</v>
      </c>
      <c r="B167" s="532">
        <v>2.18E-2</v>
      </c>
      <c r="C167" s="640">
        <v>1.0125732700000001</v>
      </c>
    </row>
    <row r="168" spans="1:3">
      <c r="A168" s="531">
        <v>43427</v>
      </c>
      <c r="B168" s="532">
        <v>2.23E-2</v>
      </c>
      <c r="C168" s="640">
        <v>1.0126959099999999</v>
      </c>
    </row>
    <row r="169" spans="1:3">
      <c r="A169" s="531">
        <v>43430</v>
      </c>
      <c r="B169" s="532">
        <v>2.2000000000000002E-2</v>
      </c>
      <c r="C169" s="640">
        <v>1.0128841</v>
      </c>
    </row>
    <row r="170" spans="1:3">
      <c r="A170" s="531">
        <v>43431</v>
      </c>
      <c r="B170" s="532">
        <v>2.1899999999999999E-2</v>
      </c>
      <c r="C170" s="640">
        <v>1.0129459999999999</v>
      </c>
    </row>
    <row r="171" spans="1:3">
      <c r="A171" s="531">
        <v>43432</v>
      </c>
      <c r="B171" s="532">
        <v>2.1899999999999999E-2</v>
      </c>
      <c r="C171" s="640">
        <v>1.01300762</v>
      </c>
    </row>
    <row r="172" spans="1:3">
      <c r="A172" s="531">
        <v>43433</v>
      </c>
      <c r="B172" s="532">
        <v>2.2400000000000003E-2</v>
      </c>
      <c r="C172" s="640">
        <v>1.01306925</v>
      </c>
    </row>
    <row r="173" spans="1:3">
      <c r="A173" s="531">
        <v>43434</v>
      </c>
      <c r="B173" s="532">
        <v>2.2799999999999997E-2</v>
      </c>
      <c r="C173" s="640">
        <v>1.01313228</v>
      </c>
    </row>
    <row r="174" spans="1:3">
      <c r="A174" s="531">
        <v>43437</v>
      </c>
      <c r="B174" s="532">
        <v>2.23E-2</v>
      </c>
      <c r="C174" s="640">
        <v>1.01332478</v>
      </c>
    </row>
    <row r="175" spans="1:3">
      <c r="A175" s="531">
        <v>43438</v>
      </c>
      <c r="B175" s="532">
        <v>2.2700000000000001E-2</v>
      </c>
      <c r="C175" s="640">
        <v>1.01338755</v>
      </c>
    </row>
    <row r="176" spans="1:3">
      <c r="A176" s="531">
        <v>43440</v>
      </c>
      <c r="B176" s="532">
        <v>2.3399999999999997E-2</v>
      </c>
      <c r="C176" s="640">
        <v>1.01351535</v>
      </c>
    </row>
    <row r="177" spans="1:3">
      <c r="A177" s="531">
        <v>43441</v>
      </c>
      <c r="B177" s="532">
        <v>2.3E-2</v>
      </c>
      <c r="C177" s="640">
        <v>1.0135812200000001</v>
      </c>
    </row>
    <row r="178" spans="1:3">
      <c r="A178" s="531">
        <v>43444</v>
      </c>
      <c r="B178" s="532">
        <v>2.2200000000000001E-2</v>
      </c>
      <c r="C178" s="640">
        <v>1.01377549</v>
      </c>
    </row>
    <row r="179" spans="1:3">
      <c r="A179" s="531">
        <v>43445</v>
      </c>
      <c r="B179" s="532">
        <v>2.1899999999999999E-2</v>
      </c>
      <c r="C179" s="640">
        <v>1.01383801</v>
      </c>
    </row>
    <row r="180" spans="1:3">
      <c r="A180" s="531">
        <v>43446</v>
      </c>
      <c r="B180" s="532">
        <v>2.2000000000000002E-2</v>
      </c>
      <c r="C180" s="640">
        <v>1.01389968</v>
      </c>
    </row>
    <row r="181" spans="1:3">
      <c r="A181" s="531">
        <v>43447</v>
      </c>
      <c r="B181" s="532">
        <v>2.2099999999999998E-2</v>
      </c>
      <c r="C181" s="640">
        <v>1.0139616499999999</v>
      </c>
    </row>
    <row r="182" spans="1:3">
      <c r="A182" s="531">
        <v>43448</v>
      </c>
      <c r="B182" s="532">
        <v>2.2099999999999998E-2</v>
      </c>
      <c r="C182" s="640">
        <v>1.01402389</v>
      </c>
    </row>
    <row r="183" spans="1:3">
      <c r="A183" s="531">
        <v>43451</v>
      </c>
      <c r="B183" s="532">
        <v>2.3099999999999999E-2</v>
      </c>
      <c r="C183" s="640">
        <v>1.0142106399999999</v>
      </c>
    </row>
    <row r="184" spans="1:3">
      <c r="A184" s="531">
        <v>43452</v>
      </c>
      <c r="B184" s="532">
        <v>2.3199999999999998E-2</v>
      </c>
      <c r="C184" s="640">
        <v>1.0142757200000001</v>
      </c>
    </row>
    <row r="185" spans="1:3">
      <c r="A185" s="531">
        <v>43453</v>
      </c>
      <c r="B185" s="532">
        <v>2.3E-2</v>
      </c>
      <c r="C185" s="640">
        <v>1.0143410799999999</v>
      </c>
    </row>
    <row r="186" spans="1:3">
      <c r="A186" s="531">
        <v>43454</v>
      </c>
      <c r="B186" s="532">
        <v>2.41E-2</v>
      </c>
      <c r="C186" s="640">
        <v>1.0144058899999999</v>
      </c>
    </row>
    <row r="187" spans="1:3">
      <c r="A187" s="531">
        <v>43455</v>
      </c>
      <c r="B187" s="532">
        <v>2.4E-2</v>
      </c>
      <c r="C187" s="640">
        <v>1.0144738</v>
      </c>
    </row>
    <row r="188" spans="1:3">
      <c r="A188" s="531">
        <v>43458</v>
      </c>
      <c r="B188" s="532">
        <v>2.41E-2</v>
      </c>
      <c r="C188" s="640">
        <v>1.0146766899999999</v>
      </c>
    </row>
    <row r="189" spans="1:3">
      <c r="A189" s="531">
        <v>43460</v>
      </c>
      <c r="B189" s="532">
        <v>2.4399999999999998E-2</v>
      </c>
      <c r="C189" s="640">
        <v>1.01481255</v>
      </c>
    </row>
    <row r="190" spans="1:3">
      <c r="A190" s="531">
        <v>43461</v>
      </c>
      <c r="B190" s="532">
        <v>2.4399999999999998E-2</v>
      </c>
      <c r="C190" s="640">
        <v>1.0148813299999999</v>
      </c>
    </row>
    <row r="191" spans="1:3">
      <c r="A191" s="531">
        <v>43462</v>
      </c>
      <c r="B191" s="532">
        <v>2.46E-2</v>
      </c>
      <c r="C191" s="640">
        <v>1.01495011</v>
      </c>
    </row>
    <row r="192" spans="1:3">
      <c r="A192" s="531">
        <v>43465</v>
      </c>
      <c r="B192" s="532">
        <v>0.03</v>
      </c>
      <c r="C192" s="640">
        <v>1.01515818</v>
      </c>
    </row>
    <row r="193" spans="1:3">
      <c r="A193" s="531">
        <v>43467</v>
      </c>
      <c r="B193" s="532">
        <v>3.15E-2</v>
      </c>
      <c r="C193" s="640">
        <v>1.0153273700000001</v>
      </c>
    </row>
    <row r="194" spans="1:3">
      <c r="A194" s="531">
        <v>43468</v>
      </c>
      <c r="B194" s="532">
        <v>2.7000000000000003E-2</v>
      </c>
      <c r="C194" s="640">
        <v>1.0154162099999999</v>
      </c>
    </row>
    <row r="195" spans="1:3">
      <c r="A195" s="531">
        <v>43469</v>
      </c>
      <c r="B195" s="532">
        <v>2.4500000000000001E-2</v>
      </c>
      <c r="C195" s="640">
        <v>1.01549237</v>
      </c>
    </row>
    <row r="196" spans="1:3">
      <c r="A196" s="531">
        <v>43472</v>
      </c>
      <c r="B196" s="532">
        <v>2.41E-2</v>
      </c>
      <c r="C196" s="640">
        <v>1.0156997000000001</v>
      </c>
    </row>
    <row r="197" spans="1:3">
      <c r="A197" s="531">
        <v>43473</v>
      </c>
      <c r="B197" s="532">
        <v>2.4199999999999999E-2</v>
      </c>
      <c r="C197" s="640">
        <v>1.0157676899999999</v>
      </c>
    </row>
    <row r="198" spans="1:3">
      <c r="A198" s="531">
        <v>43474</v>
      </c>
      <c r="B198" s="532">
        <v>2.4500000000000001E-2</v>
      </c>
      <c r="C198" s="640">
        <v>1.0158359800000001</v>
      </c>
    </row>
    <row r="199" spans="1:3">
      <c r="A199" s="531">
        <v>43475</v>
      </c>
      <c r="B199" s="532">
        <v>2.4300000000000002E-2</v>
      </c>
      <c r="C199" s="640">
        <v>1.0159051100000001</v>
      </c>
    </row>
    <row r="200" spans="1:3">
      <c r="A200" s="531">
        <v>43476</v>
      </c>
      <c r="B200" s="532">
        <v>2.41E-2</v>
      </c>
      <c r="C200" s="640">
        <v>1.0159736800000001</v>
      </c>
    </row>
    <row r="201" spans="1:3">
      <c r="A201" s="531">
        <v>43479</v>
      </c>
      <c r="B201" s="532">
        <v>2.4E-2</v>
      </c>
      <c r="C201" s="640">
        <v>1.0161777299999999</v>
      </c>
    </row>
    <row r="202" spans="1:3">
      <c r="A202" s="531">
        <v>43480</v>
      </c>
      <c r="B202" s="532">
        <v>2.46E-2</v>
      </c>
      <c r="C202" s="640">
        <v>1.0162454700000001</v>
      </c>
    </row>
    <row r="203" spans="1:3">
      <c r="A203" s="531">
        <v>43481</v>
      </c>
      <c r="B203" s="532">
        <v>2.4300000000000002E-2</v>
      </c>
      <c r="C203" s="640">
        <v>1.01631491</v>
      </c>
    </row>
    <row r="204" spans="1:3">
      <c r="A204" s="531">
        <v>43482</v>
      </c>
      <c r="B204" s="532">
        <v>2.41E-2</v>
      </c>
      <c r="C204" s="640">
        <v>1.01638351</v>
      </c>
    </row>
    <row r="205" spans="1:3">
      <c r="A205" s="531">
        <v>43483</v>
      </c>
      <c r="B205" s="532">
        <v>2.4199999999999999E-2</v>
      </c>
      <c r="C205" s="640">
        <v>1.0164515599999999</v>
      </c>
    </row>
    <row r="206" spans="1:3">
      <c r="A206" s="531">
        <v>43487</v>
      </c>
      <c r="B206" s="532">
        <v>2.41E-2</v>
      </c>
      <c r="C206" s="640">
        <v>1.01672487</v>
      </c>
    </row>
    <row r="207" spans="1:3">
      <c r="A207" s="531">
        <v>43488</v>
      </c>
      <c r="B207" s="532">
        <v>2.4E-2</v>
      </c>
      <c r="C207" s="640">
        <v>1.01679293</v>
      </c>
    </row>
    <row r="208" spans="1:3">
      <c r="A208" s="531">
        <v>43489</v>
      </c>
      <c r="B208" s="532">
        <v>2.41E-2</v>
      </c>
      <c r="C208" s="640">
        <v>1.0168607199999999</v>
      </c>
    </row>
    <row r="209" spans="1:3">
      <c r="A209" s="531">
        <v>43490</v>
      </c>
      <c r="B209" s="532">
        <v>2.4E-2</v>
      </c>
      <c r="C209" s="640">
        <v>1.0169287899999999</v>
      </c>
    </row>
    <row r="210" spans="1:3">
      <c r="A210" s="531">
        <v>43493</v>
      </c>
      <c r="B210" s="532">
        <v>2.3900000000000001E-2</v>
      </c>
      <c r="C210" s="640">
        <v>1.0171321799999999</v>
      </c>
    </row>
    <row r="211" spans="1:3">
      <c r="A211" s="531">
        <v>43494</v>
      </c>
      <c r="B211" s="532">
        <v>2.4E-2</v>
      </c>
      <c r="C211" s="640">
        <v>1.0171996999999999</v>
      </c>
    </row>
    <row r="212" spans="1:3">
      <c r="A212" s="531">
        <v>43495</v>
      </c>
      <c r="B212" s="532">
        <v>2.3900000000000001E-2</v>
      </c>
      <c r="C212" s="640">
        <v>1.0172675200000001</v>
      </c>
    </row>
    <row r="213" spans="1:3">
      <c r="A213" s="531">
        <v>43496</v>
      </c>
      <c r="B213" s="532">
        <v>2.58E-2</v>
      </c>
      <c r="C213" s="640">
        <v>1.01733505</v>
      </c>
    </row>
    <row r="214" spans="1:3">
      <c r="A214" s="531">
        <v>43497</v>
      </c>
      <c r="B214" s="532">
        <v>2.4700000000000003E-2</v>
      </c>
      <c r="C214" s="640">
        <v>1.0174079599999999</v>
      </c>
    </row>
    <row r="215" spans="1:3">
      <c r="A215" s="531">
        <v>43500</v>
      </c>
      <c r="B215" s="532">
        <v>2.4E-2</v>
      </c>
      <c r="C215" s="640">
        <v>1.0176173799999999</v>
      </c>
    </row>
    <row r="216" spans="1:3">
      <c r="A216" s="531">
        <v>43501</v>
      </c>
      <c r="B216" s="532">
        <v>2.4E-2</v>
      </c>
      <c r="C216" s="640">
        <v>1.0176852199999999</v>
      </c>
    </row>
    <row r="217" spans="1:3">
      <c r="A217" s="531">
        <v>43502</v>
      </c>
      <c r="B217" s="532">
        <v>2.3799999999999998E-2</v>
      </c>
      <c r="C217" s="640">
        <v>1.0177530699999999</v>
      </c>
    </row>
    <row r="218" spans="1:3">
      <c r="A218" s="531">
        <v>43503</v>
      </c>
      <c r="B218" s="532">
        <v>2.3799999999999998E-2</v>
      </c>
      <c r="C218" s="640">
        <v>1.01782035</v>
      </c>
    </row>
    <row r="219" spans="1:3">
      <c r="A219" s="531">
        <v>43504</v>
      </c>
      <c r="B219" s="532">
        <v>2.3700000000000002E-2</v>
      </c>
      <c r="C219" s="640">
        <v>1.0178876400000001</v>
      </c>
    </row>
    <row r="220" spans="1:3">
      <c r="A220" s="531">
        <v>43507</v>
      </c>
      <c r="B220" s="532">
        <v>2.4E-2</v>
      </c>
      <c r="C220" s="640">
        <v>1.01808867</v>
      </c>
    </row>
    <row r="221" spans="1:3">
      <c r="A221" s="531">
        <v>43508</v>
      </c>
      <c r="B221" s="532">
        <v>2.3900000000000001E-2</v>
      </c>
      <c r="C221" s="640">
        <v>1.0181565400000001</v>
      </c>
    </row>
    <row r="222" spans="1:3">
      <c r="A222" s="531">
        <v>43509</v>
      </c>
      <c r="B222" s="532">
        <v>2.3799999999999998E-2</v>
      </c>
      <c r="C222" s="640">
        <v>1.0182241400000001</v>
      </c>
    </row>
    <row r="223" spans="1:3">
      <c r="A223" s="531">
        <v>43510</v>
      </c>
      <c r="B223" s="532">
        <v>2.3900000000000001E-2</v>
      </c>
      <c r="C223" s="640">
        <v>1.01829145</v>
      </c>
    </row>
    <row r="224" spans="1:3">
      <c r="A224" s="531">
        <v>43511</v>
      </c>
      <c r="B224" s="532">
        <v>2.4300000000000002E-2</v>
      </c>
      <c r="C224" s="640">
        <v>1.0183590600000001</v>
      </c>
    </row>
    <row r="225" spans="1:3">
      <c r="A225" s="531">
        <v>43515</v>
      </c>
      <c r="B225" s="532">
        <v>2.4E-2</v>
      </c>
      <c r="C225" s="640">
        <v>1.01863401</v>
      </c>
    </row>
    <row r="226" spans="1:3">
      <c r="A226" s="531">
        <v>43516</v>
      </c>
      <c r="B226" s="532">
        <v>2.3900000000000001E-2</v>
      </c>
      <c r="C226" s="640">
        <v>1.01870192</v>
      </c>
    </row>
    <row r="227" spans="1:3">
      <c r="A227" s="531">
        <v>43517</v>
      </c>
      <c r="B227" s="532">
        <v>2.3900000000000001E-2</v>
      </c>
      <c r="C227" s="640">
        <v>1.01876955</v>
      </c>
    </row>
    <row r="228" spans="1:3">
      <c r="A228" s="531">
        <v>43518</v>
      </c>
      <c r="B228" s="532">
        <v>2.4E-2</v>
      </c>
      <c r="C228" s="640">
        <v>1.0188371899999999</v>
      </c>
    </row>
    <row r="229" spans="1:3">
      <c r="A229" s="531">
        <v>43521</v>
      </c>
      <c r="B229" s="532">
        <v>2.3799999999999998E-2</v>
      </c>
      <c r="C229" s="640">
        <v>1.0190409600000001</v>
      </c>
    </row>
    <row r="230" spans="1:3">
      <c r="A230" s="531">
        <v>43522</v>
      </c>
      <c r="B230" s="532">
        <v>2.3799999999999998E-2</v>
      </c>
      <c r="C230" s="640">
        <v>1.0191083299999999</v>
      </c>
    </row>
    <row r="231" spans="1:3">
      <c r="A231" s="531">
        <v>43523</v>
      </c>
      <c r="B231" s="532">
        <v>2.3700000000000002E-2</v>
      </c>
      <c r="C231" s="640">
        <v>1.0191756999999999</v>
      </c>
    </row>
    <row r="232" spans="1:3">
      <c r="A232" s="531">
        <v>43524</v>
      </c>
      <c r="B232" s="532">
        <v>2.58E-2</v>
      </c>
      <c r="C232" s="640">
        <v>1.0192428</v>
      </c>
    </row>
    <row r="233" spans="1:3">
      <c r="A233" s="531">
        <v>43525</v>
      </c>
      <c r="B233" s="532">
        <v>2.3799999999999998E-2</v>
      </c>
      <c r="C233" s="640">
        <v>1.01931584</v>
      </c>
    </row>
    <row r="234" spans="1:3">
      <c r="A234" s="531">
        <v>43528</v>
      </c>
      <c r="B234" s="532">
        <v>2.3799999999999998E-2</v>
      </c>
      <c r="C234" s="640">
        <v>1.0195180100000001</v>
      </c>
    </row>
    <row r="235" spans="1:3">
      <c r="A235" s="531">
        <v>43529</v>
      </c>
      <c r="B235" s="532">
        <v>2.3799999999999998E-2</v>
      </c>
      <c r="C235" s="640">
        <v>1.0195854099999999</v>
      </c>
    </row>
    <row r="236" spans="1:3">
      <c r="A236" s="531">
        <v>43530</v>
      </c>
      <c r="B236" s="532">
        <v>2.3799999999999998E-2</v>
      </c>
      <c r="C236" s="640">
        <v>1.01965281</v>
      </c>
    </row>
    <row r="237" spans="1:3">
      <c r="A237" s="531">
        <v>43531</v>
      </c>
      <c r="B237" s="532">
        <v>2.3799999999999998E-2</v>
      </c>
      <c r="C237" s="640">
        <v>1.01972022</v>
      </c>
    </row>
    <row r="238" spans="1:3">
      <c r="A238" s="531">
        <v>43532</v>
      </c>
      <c r="B238" s="532">
        <v>2.3900000000000001E-2</v>
      </c>
      <c r="C238" s="640">
        <v>1.0197876400000001</v>
      </c>
    </row>
    <row r="239" spans="1:3">
      <c r="A239" s="531">
        <v>43535</v>
      </c>
      <c r="B239" s="532">
        <v>2.3799999999999998E-2</v>
      </c>
      <c r="C239" s="640">
        <v>1.0199907500000001</v>
      </c>
    </row>
    <row r="240" spans="1:3">
      <c r="A240" s="531">
        <v>43536</v>
      </c>
      <c r="B240" s="532">
        <v>2.3900000000000001E-2</v>
      </c>
      <c r="C240" s="640">
        <v>1.0200581799999999</v>
      </c>
    </row>
    <row r="241" spans="1:3">
      <c r="A241" s="531">
        <v>43537</v>
      </c>
      <c r="B241" s="532">
        <v>2.4E-2</v>
      </c>
      <c r="C241" s="640">
        <v>1.0201259</v>
      </c>
    </row>
    <row r="242" spans="1:3">
      <c r="A242" s="531">
        <v>43538</v>
      </c>
      <c r="B242" s="532">
        <v>2.4199999999999999E-2</v>
      </c>
      <c r="C242" s="640">
        <v>1.0201939099999999</v>
      </c>
    </row>
    <row r="243" spans="1:3">
      <c r="A243" s="531">
        <v>43539</v>
      </c>
      <c r="B243" s="532">
        <v>2.46E-2</v>
      </c>
      <c r="C243" s="640">
        <v>1.0202624899999999</v>
      </c>
    </row>
    <row r="244" spans="1:3">
      <c r="A244" s="531">
        <v>43542</v>
      </c>
      <c r="B244" s="532">
        <v>2.41E-2</v>
      </c>
      <c r="C244" s="640">
        <v>1.02047164</v>
      </c>
    </row>
    <row r="245" spans="1:3">
      <c r="A245" s="531">
        <v>43543</v>
      </c>
      <c r="B245" s="532">
        <v>2.4199999999999999E-2</v>
      </c>
      <c r="C245" s="640">
        <v>1.02053996</v>
      </c>
    </row>
    <row r="246" spans="1:3">
      <c r="A246" s="531">
        <v>43544</v>
      </c>
      <c r="B246" s="532">
        <v>2.4700000000000003E-2</v>
      </c>
      <c r="C246" s="640">
        <v>1.0206085600000001</v>
      </c>
    </row>
    <row r="247" spans="1:3">
      <c r="A247" s="531">
        <v>43545</v>
      </c>
      <c r="B247" s="532">
        <v>2.4399999999999998E-2</v>
      </c>
      <c r="C247" s="640">
        <v>1.0206785899999999</v>
      </c>
    </row>
    <row r="248" spans="1:3">
      <c r="A248" s="531">
        <v>43546</v>
      </c>
      <c r="B248" s="532">
        <v>2.4E-2</v>
      </c>
      <c r="C248" s="640">
        <v>1.0207477599999999</v>
      </c>
    </row>
    <row r="249" spans="1:3">
      <c r="A249" s="531">
        <v>43549</v>
      </c>
      <c r="B249" s="532">
        <v>2.4E-2</v>
      </c>
      <c r="C249" s="640">
        <v>1.02095191</v>
      </c>
    </row>
    <row r="250" spans="1:3">
      <c r="A250" s="531">
        <v>43550</v>
      </c>
      <c r="B250" s="532">
        <v>2.4E-2</v>
      </c>
      <c r="C250" s="640">
        <v>1.0210199799999999</v>
      </c>
    </row>
    <row r="251" spans="1:3">
      <c r="A251" s="531">
        <v>43551</v>
      </c>
      <c r="B251" s="532">
        <v>2.4E-2</v>
      </c>
      <c r="C251" s="640">
        <v>1.0210880499999999</v>
      </c>
    </row>
    <row r="252" spans="1:3">
      <c r="A252" s="531">
        <v>43552</v>
      </c>
      <c r="B252" s="532">
        <v>2.4300000000000002E-2</v>
      </c>
      <c r="C252" s="640">
        <v>1.0211561199999999</v>
      </c>
    </row>
    <row r="253" spans="1:3">
      <c r="A253" s="531">
        <v>43553</v>
      </c>
      <c r="B253" s="532">
        <v>2.6499999999999999E-2</v>
      </c>
      <c r="C253" s="640">
        <v>1.02122505</v>
      </c>
    </row>
    <row r="254" spans="1:3">
      <c r="A254" s="531">
        <v>43556</v>
      </c>
      <c r="B254" s="532">
        <v>2.46E-2</v>
      </c>
      <c r="C254" s="640">
        <v>1.0214505700000001</v>
      </c>
    </row>
    <row r="255" spans="1:3">
      <c r="A255" s="531">
        <v>43557</v>
      </c>
      <c r="B255" s="532">
        <v>2.46E-2</v>
      </c>
      <c r="C255" s="640">
        <v>1.02152037</v>
      </c>
    </row>
    <row r="256" spans="1:3">
      <c r="A256" s="531">
        <v>43558</v>
      </c>
      <c r="B256" s="532">
        <v>2.4700000000000003E-2</v>
      </c>
      <c r="C256" s="640">
        <v>1.0215901700000001</v>
      </c>
    </row>
    <row r="257" spans="1:3">
      <c r="A257" s="531">
        <v>43559</v>
      </c>
      <c r="B257" s="532">
        <v>2.46E-2</v>
      </c>
      <c r="C257" s="640">
        <v>1.02166026</v>
      </c>
    </row>
    <row r="258" spans="1:3">
      <c r="A258" s="531">
        <v>43560</v>
      </c>
      <c r="B258" s="532">
        <v>2.46E-2</v>
      </c>
      <c r="C258" s="640">
        <v>1.02173008</v>
      </c>
    </row>
    <row r="259" spans="1:3">
      <c r="A259" s="531">
        <v>43563</v>
      </c>
      <c r="B259" s="532">
        <v>2.46E-2</v>
      </c>
      <c r="C259" s="640">
        <v>1.02193953</v>
      </c>
    </row>
    <row r="260" spans="1:3">
      <c r="A260" s="531">
        <v>43564</v>
      </c>
      <c r="B260" s="532">
        <v>2.4500000000000001E-2</v>
      </c>
      <c r="C260" s="640">
        <v>1.02200936</v>
      </c>
    </row>
    <row r="261" spans="1:3">
      <c r="A261" s="531">
        <v>43565</v>
      </c>
      <c r="B261" s="532">
        <v>2.4500000000000001E-2</v>
      </c>
      <c r="C261" s="640">
        <v>1.02207892</v>
      </c>
    </row>
    <row r="262" spans="1:3">
      <c r="A262" s="531">
        <v>43566</v>
      </c>
      <c r="B262" s="532">
        <v>2.4399999999999998E-2</v>
      </c>
      <c r="C262" s="640">
        <v>1.0221484700000001</v>
      </c>
    </row>
    <row r="263" spans="1:3">
      <c r="A263" s="531">
        <v>43567</v>
      </c>
      <c r="B263" s="532">
        <v>2.4399999999999998E-2</v>
      </c>
      <c r="C263" s="640">
        <v>1.02221775</v>
      </c>
    </row>
    <row r="264" spans="1:3">
      <c r="A264" s="531">
        <v>43570</v>
      </c>
      <c r="B264" s="532">
        <v>2.4700000000000003E-2</v>
      </c>
      <c r="C264" s="640">
        <v>1.0224256</v>
      </c>
    </row>
    <row r="265" spans="1:3">
      <c r="A265" s="531">
        <v>43571</v>
      </c>
      <c r="B265" s="532">
        <v>2.4700000000000003E-2</v>
      </c>
      <c r="C265" s="640">
        <v>1.02249575</v>
      </c>
    </row>
    <row r="266" spans="1:3">
      <c r="A266" s="531">
        <v>43572</v>
      </c>
      <c r="B266" s="532">
        <v>2.5000000000000001E-2</v>
      </c>
      <c r="C266" s="640">
        <v>1.02256591</v>
      </c>
    </row>
    <row r="267" spans="1:3">
      <c r="A267" s="531">
        <v>43573</v>
      </c>
      <c r="B267" s="532">
        <v>2.5000000000000001E-2</v>
      </c>
      <c r="C267" s="640">
        <v>1.0226369200000001</v>
      </c>
    </row>
    <row r="268" spans="1:3">
      <c r="A268" s="531">
        <v>43577</v>
      </c>
      <c r="B268" s="532">
        <v>2.46E-2</v>
      </c>
      <c r="C268" s="640">
        <v>1.02292099</v>
      </c>
    </row>
    <row r="269" spans="1:3">
      <c r="A269" s="531">
        <v>43578</v>
      </c>
      <c r="B269" s="532">
        <v>2.46E-2</v>
      </c>
      <c r="C269" s="640">
        <v>1.02299089</v>
      </c>
    </row>
    <row r="270" spans="1:3">
      <c r="A270" s="531">
        <v>43579</v>
      </c>
      <c r="B270" s="532">
        <v>2.4399999999999998E-2</v>
      </c>
      <c r="C270" s="640">
        <v>1.0230607899999999</v>
      </c>
    </row>
    <row r="271" spans="1:3">
      <c r="A271" s="531">
        <v>43580</v>
      </c>
      <c r="B271" s="532">
        <v>2.4500000000000001E-2</v>
      </c>
      <c r="C271" s="640">
        <v>1.02313013</v>
      </c>
    </row>
    <row r="272" spans="1:3">
      <c r="A272" s="531">
        <v>43581</v>
      </c>
      <c r="B272" s="532">
        <v>2.46E-2</v>
      </c>
      <c r="C272" s="640">
        <v>1.02319976</v>
      </c>
    </row>
    <row r="273" spans="1:3">
      <c r="A273" s="531">
        <v>43584</v>
      </c>
      <c r="B273" s="532">
        <v>2.4799999999999999E-2</v>
      </c>
      <c r="C273" s="640">
        <v>1.02340952</v>
      </c>
    </row>
    <row r="274" spans="1:3">
      <c r="A274" s="531">
        <v>43585</v>
      </c>
      <c r="B274" s="532">
        <v>2.76E-2</v>
      </c>
      <c r="C274" s="640">
        <v>1.02348002</v>
      </c>
    </row>
    <row r="275" spans="1:3">
      <c r="A275" s="531">
        <v>43586</v>
      </c>
      <c r="B275" s="532">
        <v>2.5399999999999999E-2</v>
      </c>
      <c r="C275" s="640">
        <v>1.0235584799999999</v>
      </c>
    </row>
    <row r="276" spans="1:3">
      <c r="A276" s="531">
        <v>43587</v>
      </c>
      <c r="B276" s="532">
        <v>2.5000000000000001E-2</v>
      </c>
      <c r="C276" s="640">
        <v>1.0236307</v>
      </c>
    </row>
    <row r="277" spans="1:3">
      <c r="A277" s="531">
        <v>43588</v>
      </c>
      <c r="B277" s="532">
        <v>2.4300000000000002E-2</v>
      </c>
      <c r="C277" s="640">
        <v>1.0237017900000001</v>
      </c>
    </row>
    <row r="278" spans="1:3">
      <c r="A278" s="531">
        <v>43591</v>
      </c>
      <c r="B278" s="532">
        <v>2.4199999999999999E-2</v>
      </c>
      <c r="C278" s="640">
        <v>1.0239090900000001</v>
      </c>
    </row>
    <row r="279" spans="1:3">
      <c r="A279" s="531">
        <v>43592</v>
      </c>
      <c r="B279" s="532">
        <v>2.4399999999999998E-2</v>
      </c>
      <c r="C279" s="640">
        <v>1.0239779200000001</v>
      </c>
    </row>
    <row r="280" spans="1:3">
      <c r="A280" s="531">
        <v>43593</v>
      </c>
      <c r="B280" s="532">
        <v>2.4300000000000002E-2</v>
      </c>
      <c r="C280" s="640">
        <v>1.02404732</v>
      </c>
    </row>
    <row r="281" spans="1:3">
      <c r="A281" s="531">
        <v>43594</v>
      </c>
      <c r="B281" s="532">
        <v>2.41E-2</v>
      </c>
      <c r="C281" s="640">
        <v>1.02411644</v>
      </c>
    </row>
    <row r="282" spans="1:3">
      <c r="A282" s="531">
        <v>43595</v>
      </c>
      <c r="B282" s="532">
        <v>2.4E-2</v>
      </c>
      <c r="C282" s="640">
        <v>1.0241849999999999</v>
      </c>
    </row>
    <row r="283" spans="1:3">
      <c r="A283" s="531">
        <v>43598</v>
      </c>
      <c r="B283" s="532">
        <v>2.3799999999999998E-2</v>
      </c>
      <c r="C283" s="640">
        <v>1.02438984</v>
      </c>
    </row>
    <row r="284" spans="1:3">
      <c r="A284" s="531">
        <v>43599</v>
      </c>
      <c r="B284" s="532">
        <v>2.3900000000000001E-2</v>
      </c>
      <c r="C284" s="640">
        <v>1.0244575600000001</v>
      </c>
    </row>
    <row r="285" spans="1:3">
      <c r="A285" s="531">
        <v>43600</v>
      </c>
      <c r="B285" s="532">
        <v>2.4799999999999999E-2</v>
      </c>
      <c r="C285" s="640">
        <v>1.0245255799999999</v>
      </c>
    </row>
    <row r="286" spans="1:3">
      <c r="A286" s="531">
        <v>43601</v>
      </c>
      <c r="B286" s="532">
        <v>2.4300000000000002E-2</v>
      </c>
      <c r="C286" s="640">
        <v>1.02459615</v>
      </c>
    </row>
    <row r="287" spans="1:3">
      <c r="A287" s="531">
        <v>43602</v>
      </c>
      <c r="B287" s="532">
        <v>2.4199999999999999E-2</v>
      </c>
      <c r="C287" s="640">
        <v>1.0246653100000001</v>
      </c>
    </row>
    <row r="288" spans="1:3">
      <c r="A288" s="531">
        <v>43605</v>
      </c>
      <c r="B288" s="532">
        <v>2.3900000000000001E-2</v>
      </c>
      <c r="C288" s="640">
        <v>1.0248719500000001</v>
      </c>
    </row>
    <row r="289" spans="1:3">
      <c r="A289" s="531">
        <v>43606</v>
      </c>
      <c r="B289" s="532">
        <v>2.3799999999999998E-2</v>
      </c>
      <c r="C289" s="640">
        <v>1.02493999</v>
      </c>
    </row>
    <row r="290" spans="1:3">
      <c r="A290" s="531">
        <v>43607</v>
      </c>
      <c r="B290" s="532">
        <v>2.3700000000000002E-2</v>
      </c>
      <c r="C290" s="640">
        <v>1.0250077500000001</v>
      </c>
    </row>
    <row r="291" spans="1:3">
      <c r="A291" s="531">
        <v>43608</v>
      </c>
      <c r="B291" s="532">
        <v>2.3700000000000002E-2</v>
      </c>
      <c r="C291" s="640">
        <v>1.0250752299999999</v>
      </c>
    </row>
    <row r="292" spans="1:3">
      <c r="A292" s="531">
        <v>43609</v>
      </c>
      <c r="B292" s="532">
        <v>2.3700000000000002E-2</v>
      </c>
      <c r="C292" s="640">
        <v>1.0251427200000001</v>
      </c>
    </row>
    <row r="293" spans="1:3">
      <c r="A293" s="531">
        <v>43613</v>
      </c>
      <c r="B293" s="532">
        <v>2.41E-2</v>
      </c>
      <c r="C293" s="640">
        <v>1.0254126699999999</v>
      </c>
    </row>
    <row r="294" spans="1:3">
      <c r="A294" s="531">
        <v>43614</v>
      </c>
      <c r="B294" s="532">
        <v>2.4E-2</v>
      </c>
      <c r="C294" s="640">
        <v>1.0254813199999999</v>
      </c>
    </row>
    <row r="295" spans="1:3">
      <c r="A295" s="531">
        <v>43615</v>
      </c>
      <c r="B295" s="532">
        <v>2.4E-2</v>
      </c>
      <c r="C295" s="640">
        <v>1.0255496799999999</v>
      </c>
    </row>
    <row r="296" spans="1:3">
      <c r="A296" s="531">
        <v>43616</v>
      </c>
      <c r="B296" s="532">
        <v>2.4900000000000002E-2</v>
      </c>
      <c r="C296" s="640">
        <v>1.0256180500000001</v>
      </c>
    </row>
    <row r="297" spans="1:3">
      <c r="A297" s="531">
        <v>43619</v>
      </c>
      <c r="B297" s="532">
        <v>2.4E-2</v>
      </c>
      <c r="C297" s="640">
        <v>1.0258308700000001</v>
      </c>
    </row>
    <row r="298" spans="1:3">
      <c r="A298" s="531">
        <v>43620</v>
      </c>
      <c r="B298" s="532">
        <v>2.3900000000000001E-2</v>
      </c>
      <c r="C298" s="640">
        <v>1.0258992600000001</v>
      </c>
    </row>
    <row r="299" spans="1:3">
      <c r="A299" s="531">
        <v>43621</v>
      </c>
      <c r="B299" s="532">
        <v>2.4E-2</v>
      </c>
      <c r="C299" s="640">
        <v>1.02596737</v>
      </c>
    </row>
    <row r="300" spans="1:3">
      <c r="A300" s="531">
        <v>43622</v>
      </c>
      <c r="B300" s="532">
        <v>2.4E-2</v>
      </c>
      <c r="C300" s="640">
        <v>1.0260357600000001</v>
      </c>
    </row>
    <row r="301" spans="1:3">
      <c r="A301" s="531">
        <v>43623</v>
      </c>
      <c r="B301" s="532">
        <v>2.3900000000000001E-2</v>
      </c>
      <c r="C301" s="640">
        <v>1.02610417</v>
      </c>
    </row>
    <row r="302" spans="1:3">
      <c r="A302" s="531">
        <v>43626</v>
      </c>
      <c r="B302" s="532">
        <v>2.3900000000000001E-2</v>
      </c>
      <c r="C302" s="640">
        <v>1.0263085300000001</v>
      </c>
    </row>
    <row r="303" spans="1:3">
      <c r="A303" s="531">
        <v>43627</v>
      </c>
      <c r="B303" s="532">
        <v>2.3799999999999998E-2</v>
      </c>
      <c r="C303" s="640">
        <v>1.0263766700000001</v>
      </c>
    </row>
    <row r="304" spans="1:3">
      <c r="A304" s="531">
        <v>43628</v>
      </c>
      <c r="B304" s="532">
        <v>2.3700000000000002E-2</v>
      </c>
      <c r="C304" s="640">
        <v>1.0264445200000001</v>
      </c>
    </row>
    <row r="305" spans="1:3">
      <c r="A305" s="531">
        <v>43629</v>
      </c>
      <c r="B305" s="532">
        <v>2.35E-2</v>
      </c>
      <c r="C305" s="640">
        <v>1.0265120999999999</v>
      </c>
    </row>
    <row r="306" spans="1:3">
      <c r="A306" s="531">
        <v>43630</v>
      </c>
      <c r="B306" s="532">
        <v>2.35E-2</v>
      </c>
      <c r="C306" s="640">
        <v>1.0265791099999999</v>
      </c>
    </row>
    <row r="307" spans="1:3">
      <c r="A307" s="531">
        <v>43633</v>
      </c>
      <c r="B307" s="532">
        <v>2.41E-2</v>
      </c>
      <c r="C307" s="640">
        <v>1.0267801400000001</v>
      </c>
    </row>
    <row r="308" spans="1:3">
      <c r="A308" s="531">
        <v>43634</v>
      </c>
      <c r="B308" s="532">
        <v>2.3900000000000001E-2</v>
      </c>
      <c r="C308" s="640">
        <v>1.02684888</v>
      </c>
    </row>
    <row r="309" spans="1:3">
      <c r="A309" s="531">
        <v>43635</v>
      </c>
      <c r="B309" s="532">
        <v>2.3599999999999999E-2</v>
      </c>
      <c r="C309" s="640">
        <v>1.02691705</v>
      </c>
    </row>
    <row r="310" spans="1:3">
      <c r="A310" s="531">
        <v>43636</v>
      </c>
      <c r="B310" s="532">
        <v>2.3599999999999999E-2</v>
      </c>
      <c r="C310" s="640">
        <v>1.0269843700000001</v>
      </c>
    </row>
    <row r="311" spans="1:3">
      <c r="A311" s="531">
        <v>43637</v>
      </c>
      <c r="B311" s="532">
        <v>2.3700000000000002E-2</v>
      </c>
      <c r="C311" s="640">
        <v>1.0270516999999999</v>
      </c>
    </row>
    <row r="312" spans="1:3">
      <c r="A312" s="531">
        <v>43640</v>
      </c>
      <c r="B312" s="532">
        <v>2.3900000000000001E-2</v>
      </c>
      <c r="C312" s="640">
        <v>1.0272545399999999</v>
      </c>
    </row>
    <row r="313" spans="1:3">
      <c r="A313" s="531">
        <v>43641</v>
      </c>
      <c r="B313" s="532">
        <v>2.41E-2</v>
      </c>
      <c r="C313" s="640">
        <v>1.02732274</v>
      </c>
    </row>
    <row r="314" spans="1:3">
      <c r="A314" s="531">
        <v>43642</v>
      </c>
      <c r="B314" s="532">
        <v>2.4300000000000002E-2</v>
      </c>
      <c r="C314" s="640">
        <v>1.02739151</v>
      </c>
    </row>
    <row r="315" spans="1:3">
      <c r="A315" s="531">
        <v>43643</v>
      </c>
      <c r="B315" s="532">
        <v>2.4199999999999999E-2</v>
      </c>
      <c r="C315" s="640">
        <v>1.0274608599999999</v>
      </c>
    </row>
    <row r="316" spans="1:3">
      <c r="A316" s="531">
        <v>43644</v>
      </c>
      <c r="B316" s="532">
        <v>2.5000000000000001E-2</v>
      </c>
      <c r="C316" s="640">
        <v>1.02752993</v>
      </c>
    </row>
    <row r="317" spans="1:3">
      <c r="A317" s="531">
        <v>43647</v>
      </c>
      <c r="B317" s="532">
        <v>2.4199999999999999E-2</v>
      </c>
      <c r="C317" s="640">
        <v>1.027744</v>
      </c>
    </row>
    <row r="318" spans="1:3">
      <c r="A318" s="531">
        <v>43648</v>
      </c>
      <c r="B318" s="532">
        <v>2.5099999999999997E-2</v>
      </c>
      <c r="C318" s="640">
        <v>1.02781308</v>
      </c>
    </row>
    <row r="319" spans="1:3">
      <c r="A319" s="531">
        <v>43649</v>
      </c>
      <c r="B319" s="532">
        <v>2.5600000000000001E-2</v>
      </c>
      <c r="C319" s="640">
        <v>1.0278847499999999</v>
      </c>
    </row>
    <row r="320" spans="1:3">
      <c r="A320" s="531">
        <v>43651</v>
      </c>
      <c r="B320" s="532">
        <v>2.5899999999999999E-2</v>
      </c>
      <c r="C320" s="640">
        <v>1.0280309299999999</v>
      </c>
    </row>
    <row r="321" spans="1:3">
      <c r="A321" s="531">
        <v>43654</v>
      </c>
      <c r="B321" s="532">
        <v>2.4799999999999999E-2</v>
      </c>
      <c r="C321" s="640">
        <v>1.0282528200000001</v>
      </c>
    </row>
    <row r="322" spans="1:3">
      <c r="A322" s="531">
        <v>43655</v>
      </c>
      <c r="B322" s="532">
        <v>2.4500000000000001E-2</v>
      </c>
      <c r="C322" s="640">
        <v>1.0283236499999999</v>
      </c>
    </row>
    <row r="323" spans="1:3">
      <c r="A323" s="531">
        <v>43656</v>
      </c>
      <c r="B323" s="532">
        <v>2.46E-2</v>
      </c>
      <c r="C323" s="640">
        <v>1.02839364</v>
      </c>
    </row>
    <row r="324" spans="1:3">
      <c r="A324" s="531">
        <v>43657</v>
      </c>
      <c r="B324" s="532">
        <v>2.41E-2</v>
      </c>
      <c r="C324" s="640">
        <v>1.0284639099999999</v>
      </c>
    </row>
    <row r="325" spans="1:3">
      <c r="A325" s="531">
        <v>43658</v>
      </c>
      <c r="B325" s="532">
        <v>2.3599999999999999E-2</v>
      </c>
      <c r="C325" s="640">
        <v>1.02853276</v>
      </c>
    </row>
    <row r="326" spans="1:3">
      <c r="A326" s="531">
        <v>43661</v>
      </c>
      <c r="B326" s="532">
        <v>2.46E-2</v>
      </c>
      <c r="C326" s="640">
        <v>1.0287350399999999</v>
      </c>
    </row>
    <row r="327" spans="1:3">
      <c r="A327" s="531">
        <v>43662</v>
      </c>
      <c r="B327" s="532">
        <v>2.4700000000000003E-2</v>
      </c>
      <c r="C327" s="640">
        <v>1.02880533</v>
      </c>
    </row>
    <row r="328" spans="1:3">
      <c r="A328" s="531">
        <v>43663</v>
      </c>
      <c r="B328" s="532">
        <v>2.4700000000000003E-2</v>
      </c>
      <c r="C328" s="640">
        <v>1.0288759199999999</v>
      </c>
    </row>
    <row r="329" spans="1:3">
      <c r="A329" s="531">
        <v>43664</v>
      </c>
      <c r="B329" s="532">
        <v>2.46E-2</v>
      </c>
      <c r="C329" s="640">
        <v>1.0289465099999999</v>
      </c>
    </row>
    <row r="330" spans="1:3">
      <c r="A330" s="531">
        <v>43665</v>
      </c>
      <c r="B330" s="532">
        <v>2.41E-2</v>
      </c>
      <c r="C330" s="640">
        <v>1.02901683</v>
      </c>
    </row>
    <row r="331" spans="1:3">
      <c r="A331" s="531">
        <v>43668</v>
      </c>
      <c r="B331" s="532">
        <v>2.4E-2</v>
      </c>
      <c r="C331" s="640">
        <v>1.0292234899999999</v>
      </c>
    </row>
    <row r="332" spans="1:3">
      <c r="A332" s="531">
        <v>43669</v>
      </c>
      <c r="B332" s="532">
        <v>2.4E-2</v>
      </c>
      <c r="C332" s="640">
        <v>1.0292920999999999</v>
      </c>
    </row>
    <row r="333" spans="1:3">
      <c r="A333" s="531">
        <v>43670</v>
      </c>
      <c r="B333" s="532">
        <v>2.41E-2</v>
      </c>
      <c r="C333" s="640">
        <v>1.0293607199999999</v>
      </c>
    </row>
    <row r="334" spans="1:3">
      <c r="A334" s="531">
        <v>43671</v>
      </c>
      <c r="B334" s="532">
        <v>2.4199999999999999E-2</v>
      </c>
      <c r="C334" s="640">
        <v>1.0294296300000001</v>
      </c>
    </row>
    <row r="335" spans="1:3">
      <c r="A335" s="531">
        <v>43672</v>
      </c>
      <c r="B335" s="532">
        <v>2.41E-2</v>
      </c>
      <c r="C335" s="640">
        <v>1.0294988300000001</v>
      </c>
    </row>
    <row r="336" spans="1:3">
      <c r="A336" s="531">
        <v>43675</v>
      </c>
      <c r="B336" s="532">
        <v>2.4E-2</v>
      </c>
      <c r="C336" s="640">
        <v>1.0297055900000001</v>
      </c>
    </row>
    <row r="337" spans="1:3">
      <c r="A337" s="531">
        <v>43676</v>
      </c>
      <c r="B337" s="532">
        <v>2.3900000000000001E-2</v>
      </c>
      <c r="C337" s="640">
        <v>1.0297742400000001</v>
      </c>
    </row>
    <row r="338" spans="1:3">
      <c r="A338" s="531">
        <v>43677</v>
      </c>
      <c r="B338" s="532">
        <v>2.5499999999999998E-2</v>
      </c>
      <c r="C338" s="640">
        <v>1.0298426000000001</v>
      </c>
    </row>
    <row r="339" spans="1:3">
      <c r="A339" s="531">
        <v>43678</v>
      </c>
      <c r="B339" s="532">
        <v>2.1899999999999999E-2</v>
      </c>
      <c r="C339" s="640">
        <v>1.0299155499999999</v>
      </c>
    </row>
    <row r="340" spans="1:3">
      <c r="A340" s="531">
        <v>43679</v>
      </c>
      <c r="B340" s="532">
        <v>2.1899999999999999E-2</v>
      </c>
      <c r="C340" s="640">
        <v>1.0299782</v>
      </c>
    </row>
    <row r="341" spans="1:3">
      <c r="A341" s="531">
        <v>43682</v>
      </c>
      <c r="B341" s="532">
        <v>2.1299999999999999E-2</v>
      </c>
      <c r="C341" s="640">
        <v>1.03016617</v>
      </c>
    </row>
    <row r="342" spans="1:3">
      <c r="A342" s="531">
        <v>43682</v>
      </c>
      <c r="B342" s="532">
        <v>2.1299999999999999E-2</v>
      </c>
      <c r="C342" s="640">
        <v>1.03016617</v>
      </c>
    </row>
    <row r="343" spans="1:3">
      <c r="A343" s="531">
        <v>43683</v>
      </c>
      <c r="B343" s="532">
        <v>2.1099999999999997E-2</v>
      </c>
      <c r="C343" s="640">
        <v>1.0302271199999999</v>
      </c>
    </row>
    <row r="344" spans="1:3">
      <c r="A344" s="531">
        <v>43684</v>
      </c>
      <c r="B344" s="532">
        <v>2.1000000000000001E-2</v>
      </c>
      <c r="C344" s="640">
        <v>1.03028751</v>
      </c>
    </row>
    <row r="345" spans="1:3">
      <c r="A345" s="531">
        <v>43685</v>
      </c>
      <c r="B345" s="532">
        <v>2.0899999999999998E-2</v>
      </c>
      <c r="C345" s="640">
        <v>1.03034761</v>
      </c>
    </row>
    <row r="346" spans="1:3">
      <c r="A346" s="531">
        <v>43686</v>
      </c>
      <c r="B346" s="532">
        <v>2.1099999999999997E-2</v>
      </c>
      <c r="C346" s="640">
        <v>1.03040742</v>
      </c>
    </row>
    <row r="347" spans="1:3">
      <c r="A347" s="531">
        <v>43689</v>
      </c>
      <c r="B347" s="532">
        <v>2.12E-2</v>
      </c>
      <c r="C347" s="640">
        <v>1.0305886</v>
      </c>
    </row>
    <row r="348" spans="1:3">
      <c r="A348" s="531">
        <v>43690</v>
      </c>
      <c r="B348" s="532">
        <v>2.1600000000000001E-2</v>
      </c>
      <c r="C348" s="640">
        <v>1.0306493000000001</v>
      </c>
    </row>
    <row r="349" spans="1:3">
      <c r="A349" s="531">
        <v>43691</v>
      </c>
      <c r="B349" s="532">
        <v>2.1299999999999999E-2</v>
      </c>
      <c r="C349" s="640">
        <v>1.03071113</v>
      </c>
    </row>
    <row r="350" spans="1:3">
      <c r="A350" s="531">
        <v>43692</v>
      </c>
      <c r="B350" s="532">
        <v>2.18E-2</v>
      </c>
      <c r="C350" s="640">
        <v>1.03077212</v>
      </c>
    </row>
    <row r="351" spans="1:3">
      <c r="A351" s="531">
        <v>43693</v>
      </c>
      <c r="B351" s="532">
        <v>2.1299999999999999E-2</v>
      </c>
      <c r="C351" s="640">
        <v>1.0308345400000001</v>
      </c>
    </row>
    <row r="352" spans="1:3">
      <c r="A352" s="531">
        <v>43696</v>
      </c>
      <c r="B352" s="532">
        <v>2.1099999999999997E-2</v>
      </c>
      <c r="C352" s="640">
        <v>1.0310175100000001</v>
      </c>
    </row>
    <row r="353" spans="1:3">
      <c r="A353" s="531">
        <v>43697</v>
      </c>
      <c r="B353" s="532">
        <v>2.1299999999999999E-2</v>
      </c>
      <c r="C353" s="640">
        <v>1.0310779400000001</v>
      </c>
    </row>
    <row r="354" spans="1:3">
      <c r="A354" s="531">
        <v>43697</v>
      </c>
      <c r="B354" s="532">
        <v>2.1299999999999999E-2</v>
      </c>
      <c r="C354" s="640">
        <v>1.0310779400000001</v>
      </c>
    </row>
    <row r="355" spans="1:3">
      <c r="A355" s="531">
        <v>43698</v>
      </c>
      <c r="B355" s="532">
        <v>2.1000000000000001E-2</v>
      </c>
      <c r="C355" s="640">
        <v>1.0311389399999999</v>
      </c>
    </row>
    <row r="356" spans="1:3">
      <c r="A356" s="531">
        <v>43699</v>
      </c>
      <c r="B356" s="532">
        <v>2.0899999999999998E-2</v>
      </c>
      <c r="C356" s="640">
        <v>1.0311990900000001</v>
      </c>
    </row>
    <row r="357" spans="1:3">
      <c r="A357" s="531">
        <v>43700</v>
      </c>
      <c r="B357" s="532">
        <v>2.1000000000000001E-2</v>
      </c>
      <c r="C357" s="640">
        <v>1.0312589599999999</v>
      </c>
    </row>
    <row r="358" spans="1:3">
      <c r="A358" s="531">
        <v>43703</v>
      </c>
      <c r="B358" s="532">
        <v>2.1000000000000001E-2</v>
      </c>
      <c r="C358" s="640">
        <v>1.03143943</v>
      </c>
    </row>
    <row r="359" spans="1:3">
      <c r="A359" s="531">
        <v>43704</v>
      </c>
      <c r="B359" s="532">
        <v>2.1499999999999998E-2</v>
      </c>
      <c r="C359" s="640">
        <v>1.0314996000000001</v>
      </c>
    </row>
    <row r="360" spans="1:3">
      <c r="A360" s="531">
        <v>43705</v>
      </c>
      <c r="B360" s="532">
        <v>2.12E-2</v>
      </c>
      <c r="C360" s="640">
        <v>1.0315612000000001</v>
      </c>
    </row>
    <row r="361" spans="1:3">
      <c r="A361" s="531">
        <v>43706</v>
      </c>
      <c r="B361" s="532">
        <v>2.12E-2</v>
      </c>
      <c r="C361" s="640">
        <v>1.0316219499999999</v>
      </c>
    </row>
    <row r="362" spans="1:3">
      <c r="A362" s="531">
        <v>43707</v>
      </c>
      <c r="B362" s="532">
        <v>2.1600000000000001E-2</v>
      </c>
      <c r="C362" s="640">
        <v>1.0316827</v>
      </c>
    </row>
    <row r="363" spans="1:3">
      <c r="A363" s="531">
        <v>43711</v>
      </c>
      <c r="B363" s="532">
        <v>2.1700000000000001E-2</v>
      </c>
      <c r="C363" s="640">
        <v>1.0319303</v>
      </c>
    </row>
    <row r="364" spans="1:3">
      <c r="A364" s="531">
        <v>43712</v>
      </c>
      <c r="B364" s="532">
        <v>2.2099999999999998E-2</v>
      </c>
      <c r="C364" s="640">
        <v>1.03199251</v>
      </c>
    </row>
    <row r="365" spans="1:3">
      <c r="A365" s="531">
        <v>43713</v>
      </c>
      <c r="B365" s="532">
        <v>2.2099999999999998E-2</v>
      </c>
      <c r="C365" s="640">
        <v>1.03205586</v>
      </c>
    </row>
    <row r="366" spans="1:3">
      <c r="A366" s="531">
        <v>43714</v>
      </c>
      <c r="B366" s="532">
        <v>2.1499999999999998E-2</v>
      </c>
      <c r="C366" s="640">
        <v>1.03211922</v>
      </c>
    </row>
    <row r="367" spans="1:3">
      <c r="A367" s="531">
        <v>43717</v>
      </c>
      <c r="B367" s="532">
        <v>2.12E-2</v>
      </c>
      <c r="C367" s="640">
        <v>1.0323041399999999</v>
      </c>
    </row>
    <row r="368" spans="1:3">
      <c r="A368" s="531">
        <v>43718</v>
      </c>
      <c r="B368" s="532">
        <v>2.1400000000000002E-2</v>
      </c>
      <c r="C368" s="640">
        <v>1.03236493</v>
      </c>
    </row>
    <row r="369" spans="1:3">
      <c r="A369" s="531">
        <v>43719</v>
      </c>
      <c r="B369" s="532">
        <v>2.1499999999999998E-2</v>
      </c>
      <c r="C369" s="640">
        <v>1.0324263</v>
      </c>
    </row>
    <row r="370" spans="1:3">
      <c r="A370" s="531">
        <v>43720</v>
      </c>
      <c r="B370" s="532">
        <v>2.2000000000000002E-2</v>
      </c>
      <c r="C370" s="640">
        <v>1.0324879600000001</v>
      </c>
    </row>
    <row r="371" spans="1:3">
      <c r="A371" s="531">
        <v>43721</v>
      </c>
      <c r="B371" s="532">
        <v>2.2000000000000002E-2</v>
      </c>
      <c r="C371" s="640">
        <v>1.0325510499999999</v>
      </c>
    </row>
    <row r="372" spans="1:3">
      <c r="A372" s="531">
        <v>43724</v>
      </c>
      <c r="B372" s="532">
        <v>2.4300000000000002E-2</v>
      </c>
      <c r="C372" s="640">
        <v>1.0327403500000001</v>
      </c>
    </row>
    <row r="373" spans="1:3">
      <c r="A373" s="531">
        <v>43725</v>
      </c>
      <c r="B373" s="532">
        <v>5.2499999999999998E-2</v>
      </c>
      <c r="C373" s="640">
        <v>1.0328100600000001</v>
      </c>
    </row>
    <row r="374" spans="1:3">
      <c r="A374" s="531">
        <v>43726</v>
      </c>
      <c r="B374" s="532">
        <v>2.5499999999999998E-2</v>
      </c>
      <c r="C374" s="640">
        <v>1.03296068</v>
      </c>
    </row>
    <row r="375" spans="1:3">
      <c r="A375" s="531">
        <v>43727</v>
      </c>
      <c r="B375" s="532">
        <v>1.95E-2</v>
      </c>
      <c r="C375" s="640">
        <v>1.03303385</v>
      </c>
    </row>
    <row r="376" spans="1:3">
      <c r="A376" s="531">
        <v>43728</v>
      </c>
      <c r="B376" s="532">
        <v>1.8600000000000002E-2</v>
      </c>
      <c r="C376" s="640">
        <v>1.0330898100000001</v>
      </c>
    </row>
    <row r="377" spans="1:3">
      <c r="A377" s="531">
        <v>43731</v>
      </c>
      <c r="B377" s="532">
        <v>1.8500000000000003E-2</v>
      </c>
      <c r="C377" s="640">
        <v>1.03324993</v>
      </c>
    </row>
    <row r="378" spans="1:3">
      <c r="A378" s="531">
        <v>43732</v>
      </c>
      <c r="B378" s="532">
        <v>1.9599999999999999E-2</v>
      </c>
      <c r="C378" s="640">
        <v>1.0333030299999999</v>
      </c>
    </row>
    <row r="379" spans="1:3">
      <c r="A379" s="531">
        <v>43733</v>
      </c>
      <c r="B379" s="532">
        <v>2.0099999999999996E-2</v>
      </c>
      <c r="C379" s="640">
        <v>1.0333592899999999</v>
      </c>
    </row>
    <row r="380" spans="1:3">
      <c r="A380" s="531">
        <v>43734</v>
      </c>
      <c r="B380" s="532">
        <v>1.8500000000000003E-2</v>
      </c>
      <c r="C380" s="640">
        <v>1.0334169900000001</v>
      </c>
    </row>
    <row r="381" spans="1:3">
      <c r="A381" s="531">
        <v>43735</v>
      </c>
      <c r="B381" s="532">
        <v>1.8200000000000001E-2</v>
      </c>
      <c r="C381" s="640">
        <v>1.03347009</v>
      </c>
    </row>
    <row r="382" spans="1:3">
      <c r="A382" s="531">
        <v>43738</v>
      </c>
      <c r="B382" s="532">
        <v>2.35E-2</v>
      </c>
      <c r="C382" s="640">
        <v>1.0336268399999999</v>
      </c>
    </row>
    <row r="383" spans="1:3">
      <c r="A383" s="531">
        <v>43739</v>
      </c>
      <c r="B383" s="532">
        <v>1.8799999999999997E-2</v>
      </c>
      <c r="C383" s="640">
        <v>1.03369431</v>
      </c>
    </row>
    <row r="384" spans="1:3">
      <c r="A384" s="531">
        <v>43740</v>
      </c>
      <c r="B384" s="532">
        <v>1.8500000000000003E-2</v>
      </c>
      <c r="C384" s="640">
        <v>1.0337482899999999</v>
      </c>
    </row>
    <row r="385" spans="1:3">
      <c r="A385" s="531">
        <v>43741</v>
      </c>
      <c r="B385" s="532">
        <v>1.84E-2</v>
      </c>
      <c r="C385" s="640">
        <v>1.0338014099999999</v>
      </c>
    </row>
    <row r="386" spans="1:3">
      <c r="A386" s="531">
        <v>43742</v>
      </c>
      <c r="B386" s="532">
        <v>1.8200000000000001E-2</v>
      </c>
      <c r="C386" s="640">
        <v>1.0338542500000001</v>
      </c>
    </row>
    <row r="387" spans="1:3">
      <c r="A387" s="531">
        <v>43745</v>
      </c>
      <c r="B387" s="532">
        <v>1.83E-2</v>
      </c>
      <c r="C387" s="640">
        <v>1.0340110499999999</v>
      </c>
    </row>
    <row r="388" spans="1:3">
      <c r="A388" s="531">
        <v>43746</v>
      </c>
      <c r="B388" s="532">
        <v>1.8500000000000003E-2</v>
      </c>
      <c r="C388" s="640">
        <v>1.03406362</v>
      </c>
    </row>
    <row r="389" spans="1:3">
      <c r="A389" s="531">
        <v>43747</v>
      </c>
      <c r="B389" s="532">
        <v>1.8500000000000003E-2</v>
      </c>
      <c r="C389" s="640">
        <v>1.0341167499999999</v>
      </c>
    </row>
    <row r="390" spans="1:3">
      <c r="A390" s="531">
        <v>43748</v>
      </c>
      <c r="B390" s="532">
        <v>1.8500000000000003E-2</v>
      </c>
      <c r="C390" s="640">
        <v>1.0341699</v>
      </c>
    </row>
    <row r="391" spans="1:3">
      <c r="A391" s="531">
        <v>43749</v>
      </c>
      <c r="B391" s="532">
        <v>1.8500000000000003E-2</v>
      </c>
      <c r="C391" s="640">
        <v>1.0342230400000001</v>
      </c>
    </row>
    <row r="392" spans="1:3">
      <c r="A392" s="531">
        <v>43753</v>
      </c>
      <c r="B392" s="532">
        <v>0.02</v>
      </c>
      <c r="C392" s="640">
        <v>1.0344356299999999</v>
      </c>
    </row>
    <row r="393" spans="1:3">
      <c r="A393" s="531">
        <v>43754</v>
      </c>
      <c r="B393" s="532">
        <v>2.0499999999999997E-2</v>
      </c>
      <c r="C393" s="640">
        <v>1.0344930999999999</v>
      </c>
    </row>
    <row r="394" spans="1:3">
      <c r="A394" s="531">
        <v>43755</v>
      </c>
      <c r="B394" s="532">
        <v>1.95E-2</v>
      </c>
      <c r="C394" s="640">
        <v>1.0345520100000001</v>
      </c>
    </row>
    <row r="395" spans="1:3">
      <c r="A395" s="531">
        <v>43756</v>
      </c>
      <c r="B395" s="532">
        <v>1.8799999999999997E-2</v>
      </c>
      <c r="C395" s="640">
        <v>1.0346080499999999</v>
      </c>
    </row>
    <row r="396" spans="1:3">
      <c r="A396" s="531">
        <v>43759</v>
      </c>
      <c r="B396" s="532">
        <v>1.8600000000000002E-2</v>
      </c>
      <c r="C396" s="640">
        <v>1.03477014</v>
      </c>
    </row>
    <row r="397" spans="1:3">
      <c r="A397" s="531">
        <v>43760</v>
      </c>
      <c r="B397" s="532">
        <v>1.8700000000000001E-2</v>
      </c>
      <c r="C397" s="640">
        <v>1.0348236</v>
      </c>
    </row>
    <row r="398" spans="1:3">
      <c r="A398" s="531">
        <v>43761</v>
      </c>
      <c r="B398" s="532">
        <v>1.8700000000000001E-2</v>
      </c>
      <c r="C398" s="640">
        <v>1.0348773499999999</v>
      </c>
    </row>
    <row r="399" spans="1:3">
      <c r="A399" s="531">
        <v>43762</v>
      </c>
      <c r="B399" s="532">
        <v>1.8600000000000002E-2</v>
      </c>
      <c r="C399" s="640">
        <v>1.03493111</v>
      </c>
    </row>
    <row r="400" spans="1:3">
      <c r="A400" s="531">
        <v>43763</v>
      </c>
      <c r="B400" s="532">
        <v>1.84E-2</v>
      </c>
      <c r="C400" s="640">
        <v>1.0349845799999999</v>
      </c>
    </row>
    <row r="401" spans="1:3">
      <c r="A401" s="531">
        <v>43766</v>
      </c>
      <c r="B401" s="532">
        <v>1.8200000000000001E-2</v>
      </c>
      <c r="C401" s="640">
        <v>1.03514328</v>
      </c>
    </row>
    <row r="402" spans="1:3">
      <c r="A402" s="531">
        <v>43767</v>
      </c>
      <c r="B402" s="532">
        <v>1.8100000000000002E-2</v>
      </c>
      <c r="C402" s="640">
        <v>1.0351956099999999</v>
      </c>
    </row>
    <row r="403" spans="1:3">
      <c r="A403" s="531">
        <v>43768</v>
      </c>
      <c r="B403" s="532">
        <v>1.8200000000000001E-2</v>
      </c>
      <c r="C403" s="640">
        <v>1.03524766</v>
      </c>
    </row>
    <row r="404" spans="1:3">
      <c r="A404" s="531">
        <v>43769</v>
      </c>
      <c r="B404" s="532">
        <v>1.7600000000000001E-2</v>
      </c>
      <c r="C404" s="640">
        <v>1.0352999899999999</v>
      </c>
    </row>
    <row r="405" spans="1:3">
      <c r="A405" s="531">
        <v>43770</v>
      </c>
      <c r="B405" s="532">
        <v>1.5800000000000002E-2</v>
      </c>
      <c r="C405" s="640">
        <v>1.0353506100000001</v>
      </c>
    </row>
    <row r="406" spans="1:3">
      <c r="A406" s="531">
        <v>43773</v>
      </c>
      <c r="B406" s="532">
        <v>1.5600000000000001E-2</v>
      </c>
      <c r="C406" s="640">
        <v>1.03548693</v>
      </c>
    </row>
    <row r="407" spans="1:3">
      <c r="A407" s="531">
        <v>43774</v>
      </c>
      <c r="B407" s="532">
        <v>1.5800000000000002E-2</v>
      </c>
      <c r="C407" s="640">
        <v>1.0355318</v>
      </c>
    </row>
    <row r="408" spans="1:3">
      <c r="A408" s="531">
        <v>43775</v>
      </c>
      <c r="B408" s="532">
        <v>1.5700000000000002E-2</v>
      </c>
      <c r="C408" s="640">
        <v>1.03557725</v>
      </c>
    </row>
    <row r="409" spans="1:3">
      <c r="A409" s="531">
        <v>43776</v>
      </c>
      <c r="B409" s="532">
        <v>1.5600000000000001E-2</v>
      </c>
      <c r="C409" s="640">
        <v>1.03562241</v>
      </c>
    </row>
    <row r="410" spans="1:3">
      <c r="A410" s="531">
        <v>43777</v>
      </c>
      <c r="B410" s="532">
        <v>1.5600000000000001E-2</v>
      </c>
      <c r="C410" s="640">
        <v>1.0356672899999999</v>
      </c>
    </row>
    <row r="411" spans="1:3">
      <c r="A411" s="531">
        <v>43781</v>
      </c>
      <c r="B411" s="532">
        <v>1.5700000000000002E-2</v>
      </c>
      <c r="C411" s="640">
        <v>1.03584681</v>
      </c>
    </row>
    <row r="412" spans="1:3">
      <c r="A412" s="531">
        <v>43782</v>
      </c>
      <c r="B412" s="532">
        <v>1.5700000000000002E-2</v>
      </c>
      <c r="C412" s="640">
        <v>1.0358919799999999</v>
      </c>
    </row>
    <row r="413" spans="1:3">
      <c r="A413" s="531">
        <v>43783</v>
      </c>
      <c r="B413" s="532">
        <v>1.5800000000000002E-2</v>
      </c>
      <c r="C413" s="640">
        <v>1.03593716</v>
      </c>
    </row>
    <row r="414" spans="1:3">
      <c r="A414" s="531">
        <v>43784</v>
      </c>
      <c r="B414" s="532">
        <v>1.5900000000000001E-2</v>
      </c>
      <c r="C414" s="640">
        <v>1.03598262</v>
      </c>
    </row>
    <row r="415" spans="1:3">
      <c r="A415" s="531">
        <v>43787</v>
      </c>
      <c r="B415" s="532">
        <v>1.5600000000000001E-2</v>
      </c>
      <c r="C415" s="640">
        <v>1.0361198899999999</v>
      </c>
    </row>
    <row r="416" spans="1:3">
      <c r="A416" s="531">
        <v>43788</v>
      </c>
      <c r="B416" s="532">
        <v>1.5700000000000002E-2</v>
      </c>
      <c r="C416" s="640">
        <v>1.0361647899999999</v>
      </c>
    </row>
    <row r="417" spans="1:3">
      <c r="A417" s="531">
        <v>43789</v>
      </c>
      <c r="B417" s="532">
        <v>1.5700000000000002E-2</v>
      </c>
      <c r="C417" s="640">
        <v>1.03620998</v>
      </c>
    </row>
    <row r="418" spans="1:3">
      <c r="A418" s="531">
        <v>43790</v>
      </c>
      <c r="B418" s="532">
        <v>1.5800000000000002E-2</v>
      </c>
      <c r="C418" s="640">
        <v>1.03625517</v>
      </c>
    </row>
    <row r="419" spans="1:3">
      <c r="A419" s="531">
        <v>43791</v>
      </c>
      <c r="B419" s="532">
        <v>1.5800000000000002E-2</v>
      </c>
      <c r="C419" s="640">
        <v>1.03630065</v>
      </c>
    </row>
    <row r="420" spans="1:3">
      <c r="A420" s="531">
        <v>43794</v>
      </c>
      <c r="B420" s="532">
        <v>1.5600000000000001E-2</v>
      </c>
      <c r="C420" s="640">
        <v>1.0364370899999999</v>
      </c>
    </row>
    <row r="421" spans="1:3">
      <c r="A421" s="531">
        <v>43795</v>
      </c>
      <c r="B421" s="532">
        <v>1.54E-2</v>
      </c>
      <c r="C421" s="640">
        <v>1.0364820100000001</v>
      </c>
    </row>
    <row r="422" spans="1:3">
      <c r="A422" s="531">
        <v>43796</v>
      </c>
      <c r="B422" s="532">
        <v>1.55E-2</v>
      </c>
      <c r="C422" s="640">
        <v>1.03652634</v>
      </c>
    </row>
    <row r="423" spans="1:3">
      <c r="A423" s="531">
        <v>43798</v>
      </c>
      <c r="B423" s="532">
        <v>1.6500000000000001E-2</v>
      </c>
      <c r="C423" s="640">
        <v>1.0366156</v>
      </c>
    </row>
    <row r="424" spans="1:3">
      <c r="A424" s="531">
        <v>43801</v>
      </c>
      <c r="B424" s="532">
        <v>1.6299999999999999E-2</v>
      </c>
      <c r="C424" s="640">
        <v>1.0367581400000001</v>
      </c>
    </row>
    <row r="425" spans="1:3">
      <c r="A425" s="531">
        <v>43802</v>
      </c>
      <c r="B425" s="532">
        <v>1.55E-2</v>
      </c>
      <c r="C425" s="640">
        <v>1.0368050799999999</v>
      </c>
    </row>
    <row r="426" spans="1:3">
      <c r="A426" s="531">
        <v>43803</v>
      </c>
      <c r="B426" s="532">
        <v>1.54E-2</v>
      </c>
      <c r="C426" s="640">
        <v>1.03684972</v>
      </c>
    </row>
    <row r="427" spans="1:3">
      <c r="A427" s="531">
        <v>43804</v>
      </c>
      <c r="B427" s="532">
        <v>1.55E-2</v>
      </c>
      <c r="C427" s="640">
        <v>1.03689407</v>
      </c>
    </row>
    <row r="428" spans="1:3">
      <c r="A428" s="531">
        <v>43805</v>
      </c>
      <c r="B428" s="532">
        <v>1.55E-2</v>
      </c>
      <c r="C428" s="640">
        <v>1.03693872</v>
      </c>
    </row>
    <row r="429" spans="1:3">
      <c r="A429" s="531">
        <v>43808</v>
      </c>
      <c r="B429" s="532">
        <v>1.5600000000000001E-2</v>
      </c>
      <c r="C429" s="640">
        <v>1.03707265</v>
      </c>
    </row>
    <row r="430" spans="1:3">
      <c r="A430" s="531">
        <v>43809</v>
      </c>
      <c r="B430" s="532">
        <v>1.55E-2</v>
      </c>
      <c r="C430" s="640">
        <v>1.03711759</v>
      </c>
    </row>
    <row r="431" spans="1:3">
      <c r="A431" s="531">
        <v>43810</v>
      </c>
      <c r="B431" s="532">
        <v>1.54E-2</v>
      </c>
      <c r="C431" s="640">
        <v>1.03716225</v>
      </c>
    </row>
    <row r="432" spans="1:3">
      <c r="A432" s="531">
        <v>43811</v>
      </c>
      <c r="B432" s="532">
        <v>1.5300000000000001E-2</v>
      </c>
      <c r="C432" s="640">
        <v>1.0372066099999999</v>
      </c>
    </row>
    <row r="433" spans="1:3">
      <c r="A433" s="531">
        <v>43812</v>
      </c>
      <c r="B433" s="532">
        <v>1.54E-2</v>
      </c>
      <c r="C433" s="640">
        <v>1.0372507</v>
      </c>
    </row>
    <row r="434" spans="1:3">
      <c r="A434" s="531">
        <v>43815</v>
      </c>
      <c r="B434" s="532">
        <v>1.6200000000000003E-2</v>
      </c>
      <c r="C434" s="640">
        <v>1.0373838099999999</v>
      </c>
    </row>
    <row r="435" spans="1:3">
      <c r="A435" s="531">
        <v>43816</v>
      </c>
      <c r="B435" s="532">
        <v>1.54E-2</v>
      </c>
      <c r="C435" s="640">
        <v>1.03743049</v>
      </c>
    </row>
    <row r="436" spans="1:3">
      <c r="A436" s="531">
        <v>43817</v>
      </c>
      <c r="B436" s="532">
        <v>1.5300000000000001E-2</v>
      </c>
      <c r="C436" s="640">
        <v>1.03747487</v>
      </c>
    </row>
    <row r="437" spans="1:3">
      <c r="A437" s="531">
        <v>43818</v>
      </c>
      <c r="B437" s="532">
        <v>1.5300000000000001E-2</v>
      </c>
      <c r="C437" s="640">
        <v>1.0375189600000001</v>
      </c>
    </row>
    <row r="438" spans="1:3">
      <c r="A438" s="531">
        <v>43819</v>
      </c>
      <c r="B438" s="532">
        <v>1.5300000000000001E-2</v>
      </c>
      <c r="C438" s="640">
        <v>1.0375630600000001</v>
      </c>
    </row>
    <row r="439" spans="1:3">
      <c r="A439" s="531">
        <v>43822</v>
      </c>
      <c r="B439" s="532">
        <v>1.52E-2</v>
      </c>
      <c r="C439" s="640">
        <v>1.0376953499999999</v>
      </c>
    </row>
    <row r="440" spans="1:3">
      <c r="A440" s="531">
        <v>43823</v>
      </c>
      <c r="B440" s="532">
        <v>1.52E-2</v>
      </c>
      <c r="C440" s="640">
        <v>1.0377391600000001</v>
      </c>
    </row>
    <row r="441" spans="1:3">
      <c r="A441" s="531">
        <v>43825</v>
      </c>
      <c r="B441" s="532">
        <v>1.52E-2</v>
      </c>
      <c r="C441" s="640">
        <v>1.03782679</v>
      </c>
    </row>
    <row r="442" spans="1:3">
      <c r="A442" s="531">
        <v>43826</v>
      </c>
      <c r="B442" s="532">
        <v>1.5300000000000001E-2</v>
      </c>
      <c r="C442" s="640">
        <v>1.0378706099999999</v>
      </c>
    </row>
    <row r="443" spans="1:3">
      <c r="A443" s="531">
        <v>43829</v>
      </c>
      <c r="B443" s="532">
        <v>1.54E-2</v>
      </c>
      <c r="C443" s="640">
        <v>1.0380029399999999</v>
      </c>
    </row>
    <row r="444" spans="1:3">
      <c r="A444" s="531">
        <v>43830</v>
      </c>
      <c r="B444" s="532">
        <v>1.55E-2</v>
      </c>
      <c r="C444" s="640">
        <v>1.0380473400000001</v>
      </c>
    </row>
    <row r="445" spans="1:3">
      <c r="A445" s="531">
        <v>43832</v>
      </c>
      <c r="B445" s="532">
        <v>1.54E-2</v>
      </c>
      <c r="C445" s="640">
        <v>1.03813673</v>
      </c>
    </row>
    <row r="446" spans="1:3">
      <c r="A446" s="531">
        <v>43833</v>
      </c>
      <c r="B446" s="532">
        <v>1.55E-2</v>
      </c>
      <c r="C446" s="640">
        <v>1.0381811400000001</v>
      </c>
    </row>
    <row r="447" spans="1:3">
      <c r="A447" s="531">
        <v>43836</v>
      </c>
      <c r="B447" s="532">
        <v>1.55E-2</v>
      </c>
      <c r="C447" s="640">
        <v>1.03831524</v>
      </c>
    </row>
    <row r="448" spans="1:3">
      <c r="A448" s="531">
        <v>43837</v>
      </c>
      <c r="B448" s="532">
        <v>1.5600000000000001E-2</v>
      </c>
      <c r="C448" s="640">
        <v>1.0383599400000001</v>
      </c>
    </row>
    <row r="449" spans="1:3">
      <c r="A449" s="531">
        <v>43838</v>
      </c>
      <c r="B449" s="532">
        <v>1.55E-2</v>
      </c>
      <c r="C449" s="640">
        <v>1.0384049399999999</v>
      </c>
    </row>
    <row r="450" spans="1:3">
      <c r="A450" s="531">
        <v>43839</v>
      </c>
      <c r="B450" s="532">
        <v>1.55E-2</v>
      </c>
      <c r="C450" s="640">
        <v>1.03844965</v>
      </c>
    </row>
    <row r="451" spans="1:3">
      <c r="A451" s="531">
        <v>43840</v>
      </c>
      <c r="B451" s="532">
        <v>1.55E-2</v>
      </c>
      <c r="C451" s="640">
        <v>1.0384943600000001</v>
      </c>
    </row>
    <row r="452" spans="1:3">
      <c r="A452" s="531">
        <v>43843</v>
      </c>
      <c r="B452" s="532">
        <v>1.54E-2</v>
      </c>
      <c r="C452" s="640">
        <v>1.0386285</v>
      </c>
    </row>
    <row r="453" spans="1:3">
      <c r="A453" s="531">
        <v>43844</v>
      </c>
      <c r="B453" s="532">
        <v>1.55E-2</v>
      </c>
      <c r="C453" s="640">
        <v>1.0386729299999999</v>
      </c>
    </row>
    <row r="454" spans="1:3">
      <c r="A454" s="531">
        <v>43845</v>
      </c>
      <c r="B454" s="532">
        <v>1.5600000000000001E-2</v>
      </c>
      <c r="C454" s="640">
        <v>1.0387176499999999</v>
      </c>
    </row>
    <row r="455" spans="1:3">
      <c r="A455" s="531">
        <v>43846</v>
      </c>
      <c r="B455" s="532">
        <v>1.55E-2</v>
      </c>
      <c r="C455" s="640">
        <v>1.0387626599999999</v>
      </c>
    </row>
    <row r="456" spans="1:3">
      <c r="A456" s="531">
        <v>43847</v>
      </c>
      <c r="B456" s="532">
        <v>1.54E-2</v>
      </c>
      <c r="C456" s="640">
        <v>1.0388073900000001</v>
      </c>
    </row>
    <row r="457" spans="1:3">
      <c r="A457" s="531">
        <v>43851</v>
      </c>
      <c r="B457" s="532">
        <v>1.54E-2</v>
      </c>
      <c r="C457" s="640">
        <v>1.0389851400000001</v>
      </c>
    </row>
    <row r="458" spans="1:3">
      <c r="A458" s="531">
        <v>43852</v>
      </c>
      <c r="B458" s="532">
        <v>1.54E-2</v>
      </c>
      <c r="C458" s="640">
        <v>1.03902958</v>
      </c>
    </row>
    <row r="459" spans="1:3">
      <c r="A459" s="531">
        <v>43853</v>
      </c>
      <c r="B459" s="532">
        <v>1.54E-2</v>
      </c>
      <c r="C459" s="640">
        <v>1.0390740300000001</v>
      </c>
    </row>
    <row r="460" spans="1:3">
      <c r="A460" s="531">
        <v>43854</v>
      </c>
      <c r="B460" s="532">
        <v>1.5300000000000001E-2</v>
      </c>
      <c r="C460" s="640">
        <v>1.03911848</v>
      </c>
    </row>
    <row r="461" spans="1:3">
      <c r="A461" s="531">
        <v>43857</v>
      </c>
      <c r="B461" s="532">
        <v>1.5300000000000001E-2</v>
      </c>
      <c r="C461" s="640">
        <v>1.0392509700000001</v>
      </c>
    </row>
    <row r="462" spans="1:3">
      <c r="A462" s="531">
        <v>43858</v>
      </c>
      <c r="B462" s="532">
        <v>1.5300000000000001E-2</v>
      </c>
      <c r="C462" s="640">
        <v>1.03929513</v>
      </c>
    </row>
    <row r="463" spans="1:3">
      <c r="A463" s="531">
        <v>43859</v>
      </c>
      <c r="B463" s="532">
        <v>1.5300000000000001E-2</v>
      </c>
      <c r="C463" s="640">
        <v>1.0393393</v>
      </c>
    </row>
    <row r="464" spans="1:3">
      <c r="A464" s="531">
        <v>43860</v>
      </c>
      <c r="B464" s="532">
        <v>1.5800000000000002E-2</v>
      </c>
      <c r="C464" s="640">
        <v>1.0393834799999999</v>
      </c>
    </row>
    <row r="465" spans="1:3">
      <c r="A465" s="531">
        <v>43861</v>
      </c>
      <c r="B465" s="532">
        <v>1.6E-2</v>
      </c>
      <c r="C465" s="640">
        <v>1.0394290900000001</v>
      </c>
    </row>
    <row r="466" spans="1:3">
      <c r="A466" s="531">
        <v>43864</v>
      </c>
      <c r="B466" s="532">
        <v>1.5900000000000001E-2</v>
      </c>
      <c r="C466" s="640">
        <v>1.03956768</v>
      </c>
    </row>
    <row r="467" spans="1:3">
      <c r="A467" s="531">
        <v>43865</v>
      </c>
      <c r="B467" s="532">
        <v>1.6E-2</v>
      </c>
      <c r="C467" s="640">
        <v>1.0396136</v>
      </c>
    </row>
    <row r="468" spans="1:3">
      <c r="A468" s="531">
        <v>43866</v>
      </c>
      <c r="B468" s="532">
        <v>1.5900000000000001E-2</v>
      </c>
      <c r="C468" s="640">
        <v>1.0396597999999999</v>
      </c>
    </row>
    <row r="469" spans="1:3">
      <c r="A469" s="531">
        <v>43867</v>
      </c>
      <c r="B469" s="532">
        <v>1.5900000000000001E-2</v>
      </c>
      <c r="C469" s="640">
        <v>1.0397057199999999</v>
      </c>
    </row>
    <row r="470" spans="1:3">
      <c r="A470" s="531">
        <v>43868</v>
      </c>
      <c r="B470" s="532">
        <v>1.5800000000000002E-2</v>
      </c>
      <c r="C470" s="640">
        <v>1.03975164</v>
      </c>
    </row>
    <row r="471" spans="1:3">
      <c r="A471" s="531">
        <v>43871</v>
      </c>
      <c r="B471" s="532">
        <v>1.5800000000000002E-2</v>
      </c>
      <c r="C471" s="640">
        <v>1.03988854</v>
      </c>
    </row>
    <row r="472" spans="1:3">
      <c r="A472" s="531">
        <v>43872</v>
      </c>
      <c r="B472" s="532">
        <v>1.5800000000000002E-2</v>
      </c>
      <c r="C472" s="640">
        <v>1.0399341799999999</v>
      </c>
    </row>
    <row r="473" spans="1:3">
      <c r="A473" s="531">
        <v>43873</v>
      </c>
      <c r="B473" s="532">
        <v>1.5700000000000002E-2</v>
      </c>
      <c r="C473" s="640">
        <v>1.0399798200000001</v>
      </c>
    </row>
    <row r="474" spans="1:3">
      <c r="A474" s="531">
        <v>43874</v>
      </c>
      <c r="B474" s="532">
        <v>1.5700000000000002E-2</v>
      </c>
      <c r="C474" s="640">
        <v>1.04002518</v>
      </c>
    </row>
    <row r="475" spans="1:3">
      <c r="A475" s="531">
        <v>43875</v>
      </c>
      <c r="B475" s="532">
        <v>1.5800000000000002E-2</v>
      </c>
      <c r="C475" s="640">
        <v>1.0400705400000001</v>
      </c>
    </row>
    <row r="476" spans="1:3">
      <c r="A476" s="531">
        <v>43879</v>
      </c>
      <c r="B476" s="532">
        <v>1.6E-2</v>
      </c>
      <c r="C476" s="640">
        <v>1.04025313</v>
      </c>
    </row>
    <row r="477" spans="1:3">
      <c r="A477" s="531">
        <v>43880</v>
      </c>
      <c r="B477" s="532">
        <v>1.5900000000000001E-2</v>
      </c>
      <c r="C477" s="640">
        <v>1.0402993599999999</v>
      </c>
    </row>
    <row r="478" spans="1:3">
      <c r="A478" s="531">
        <v>43881</v>
      </c>
      <c r="B478" s="532">
        <v>1.6E-2</v>
      </c>
      <c r="C478" s="640">
        <v>1.04034531</v>
      </c>
    </row>
    <row r="479" spans="1:3">
      <c r="A479" s="531">
        <v>43882</v>
      </c>
      <c r="B479" s="532">
        <v>1.5800000000000002E-2</v>
      </c>
      <c r="C479" s="640">
        <v>1.0403915399999999</v>
      </c>
    </row>
    <row r="480" spans="1:3">
      <c r="A480" s="531">
        <v>43885</v>
      </c>
      <c r="B480" s="532">
        <v>1.5800000000000002E-2</v>
      </c>
      <c r="C480" s="640">
        <v>1.04052853</v>
      </c>
    </row>
    <row r="481" spans="1:3">
      <c r="A481" s="531">
        <v>43886</v>
      </c>
      <c r="B481" s="532">
        <v>1.5900000000000001E-2</v>
      </c>
      <c r="C481" s="640">
        <v>1.0405742</v>
      </c>
    </row>
    <row r="482" spans="1:3">
      <c r="A482" s="531">
        <v>43887</v>
      </c>
      <c r="B482" s="532">
        <v>1.5800000000000002E-2</v>
      </c>
      <c r="C482" s="640">
        <v>1.0406201500000001</v>
      </c>
    </row>
    <row r="483" spans="1:3">
      <c r="A483" s="531">
        <v>43888</v>
      </c>
      <c r="B483" s="532">
        <v>1.5800000000000002E-2</v>
      </c>
      <c r="C483" s="640">
        <v>1.04066583</v>
      </c>
    </row>
    <row r="484" spans="1:3">
      <c r="A484" s="531">
        <v>43889</v>
      </c>
      <c r="B484" s="532">
        <v>1.6E-2</v>
      </c>
      <c r="C484" s="640">
        <v>1.0407115</v>
      </c>
    </row>
    <row r="485" spans="1:3">
      <c r="A485" s="531">
        <v>43892</v>
      </c>
      <c r="B485" s="532">
        <v>1.5900000000000001E-2</v>
      </c>
      <c r="C485" s="640">
        <v>1.04085026</v>
      </c>
    </row>
    <row r="486" spans="1:3">
      <c r="A486" s="531">
        <v>43893</v>
      </c>
      <c r="B486" s="532">
        <v>1.6399999999999998E-2</v>
      </c>
      <c r="C486" s="640">
        <v>1.04089623</v>
      </c>
    </row>
    <row r="487" spans="1:3">
      <c r="A487" s="531">
        <v>43894</v>
      </c>
      <c r="B487" s="532">
        <v>1.23E-2</v>
      </c>
      <c r="C487" s="640">
        <v>1.04094365</v>
      </c>
    </row>
    <row r="488" spans="1:3">
      <c r="A488" s="531">
        <v>43895</v>
      </c>
      <c r="B488" s="532">
        <v>1.1200000000000002E-2</v>
      </c>
      <c r="C488" s="640">
        <v>1.0409792200000001</v>
      </c>
    </row>
    <row r="489" spans="1:3">
      <c r="A489" s="531">
        <v>43896</v>
      </c>
      <c r="B489" s="532">
        <v>1.1000000000000001E-2</v>
      </c>
      <c r="C489" s="640">
        <v>1.0410116</v>
      </c>
    </row>
    <row r="490" spans="1:3">
      <c r="A490" s="531">
        <v>43899</v>
      </c>
      <c r="B490" s="532">
        <v>1.09E-2</v>
      </c>
      <c r="C490" s="640">
        <v>1.04110703</v>
      </c>
    </row>
    <row r="491" spans="1:3">
      <c r="A491" s="531">
        <v>43900</v>
      </c>
      <c r="B491" s="532">
        <v>1.11E-2</v>
      </c>
      <c r="C491" s="640">
        <v>1.0411385500000001</v>
      </c>
    </row>
    <row r="492" spans="1:3">
      <c r="A492" s="531">
        <v>43901</v>
      </c>
      <c r="B492" s="532">
        <v>1.15E-2</v>
      </c>
      <c r="C492" s="640">
        <v>1.04117065</v>
      </c>
    </row>
    <row r="493" spans="1:3">
      <c r="A493" s="531">
        <v>43902</v>
      </c>
      <c r="B493" s="532">
        <v>1.2E-2</v>
      </c>
      <c r="C493" s="640">
        <v>1.0412039099999999</v>
      </c>
    </row>
    <row r="494" spans="1:3">
      <c r="A494" s="531">
        <v>43903</v>
      </c>
      <c r="B494" s="532">
        <v>1.1000000000000001E-2</v>
      </c>
      <c r="C494" s="640">
        <v>1.0412386199999999</v>
      </c>
    </row>
    <row r="495" spans="1:3">
      <c r="A495" s="531">
        <v>43906</v>
      </c>
      <c r="B495" s="532">
        <v>2.5999999999999999E-3</v>
      </c>
      <c r="C495" s="640">
        <v>1.04133407</v>
      </c>
    </row>
    <row r="496" spans="1:3">
      <c r="A496" s="531">
        <v>43907</v>
      </c>
      <c r="B496" s="532">
        <v>5.4000000000000003E-3</v>
      </c>
      <c r="C496" s="640">
        <v>1.04134159</v>
      </c>
    </row>
    <row r="497" spans="1:3">
      <c r="A497" s="531">
        <v>43908</v>
      </c>
      <c r="B497" s="532">
        <v>1E-3</v>
      </c>
      <c r="C497" s="640">
        <v>1.0413572099999999</v>
      </c>
    </row>
    <row r="498" spans="1:3">
      <c r="A498" s="531">
        <v>43909</v>
      </c>
      <c r="B498" s="532">
        <v>5.9999999999999995E-4</v>
      </c>
      <c r="C498" s="640">
        <v>1.0413600999999999</v>
      </c>
    </row>
    <row r="499" spans="1:3">
      <c r="A499" s="531">
        <v>43910</v>
      </c>
      <c r="B499" s="532">
        <v>4.0000000000000002E-4</v>
      </c>
      <c r="C499" s="640">
        <v>1.04136184</v>
      </c>
    </row>
    <row r="500" spans="1:3">
      <c r="A500" s="531">
        <v>43913</v>
      </c>
      <c r="B500" s="532">
        <v>2.0000000000000001E-4</v>
      </c>
      <c r="C500" s="640">
        <v>1.04136531</v>
      </c>
    </row>
    <row r="501" spans="1:3">
      <c r="A501" s="531">
        <v>43914</v>
      </c>
      <c r="B501" s="532">
        <v>1E-4</v>
      </c>
      <c r="C501" s="640">
        <v>1.0413658800000001</v>
      </c>
    </row>
    <row r="502" spans="1:3">
      <c r="A502" s="531">
        <v>43915</v>
      </c>
      <c r="B502" s="532">
        <v>1E-4</v>
      </c>
      <c r="C502" s="640">
        <v>1.0413661700000001</v>
      </c>
    </row>
    <row r="503" spans="1:3">
      <c r="A503" s="531">
        <v>43916</v>
      </c>
      <c r="B503" s="532">
        <v>1E-4</v>
      </c>
      <c r="C503" s="640">
        <v>1.0413664600000001</v>
      </c>
    </row>
    <row r="504" spans="1:3">
      <c r="A504" s="531">
        <v>43917</v>
      </c>
      <c r="B504" s="532">
        <v>1E-4</v>
      </c>
      <c r="C504" s="640">
        <v>1.0413667499999999</v>
      </c>
    </row>
    <row r="505" spans="1:3">
      <c r="A505" s="531">
        <v>43920</v>
      </c>
      <c r="B505" s="532">
        <v>1E-4</v>
      </c>
      <c r="C505" s="640">
        <v>1.0413676199999999</v>
      </c>
    </row>
    <row r="506" spans="1:3">
      <c r="A506" s="531">
        <v>43921</v>
      </c>
      <c r="B506" s="532">
        <v>1E-4</v>
      </c>
      <c r="C506" s="640">
        <v>1.04136791</v>
      </c>
    </row>
    <row r="507" spans="1:3">
      <c r="A507" s="531">
        <v>43922</v>
      </c>
      <c r="B507" s="532">
        <v>1E-4</v>
      </c>
      <c r="C507" s="640">
        <v>1.0413682</v>
      </c>
    </row>
    <row r="508" spans="1:3">
      <c r="A508" s="531">
        <v>43923</v>
      </c>
      <c r="B508" s="532">
        <v>1E-4</v>
      </c>
      <c r="C508" s="640">
        <v>1.04136849</v>
      </c>
    </row>
    <row r="509" spans="1:3">
      <c r="A509" s="531">
        <v>43924</v>
      </c>
      <c r="B509" s="532">
        <v>1E-4</v>
      </c>
      <c r="C509" s="640">
        <v>1.04136878</v>
      </c>
    </row>
    <row r="510" spans="1:3">
      <c r="A510" s="531">
        <v>43927</v>
      </c>
      <c r="B510" s="532">
        <v>1E-4</v>
      </c>
      <c r="C510" s="640">
        <v>1.04136965</v>
      </c>
    </row>
    <row r="511" spans="1:3">
      <c r="A511" s="531">
        <v>43928</v>
      </c>
      <c r="B511" s="532">
        <v>1E-4</v>
      </c>
      <c r="C511" s="640">
        <v>1.0413699300000001</v>
      </c>
    </row>
    <row r="512" spans="1:3">
      <c r="A512" s="531">
        <v>43929</v>
      </c>
      <c r="B512" s="532">
        <v>1E-4</v>
      </c>
      <c r="C512" s="640">
        <v>1.0413702199999999</v>
      </c>
    </row>
    <row r="513" spans="1:3">
      <c r="A513" s="531">
        <v>43930</v>
      </c>
      <c r="B513" s="532">
        <v>1E-4</v>
      </c>
      <c r="C513" s="640">
        <v>1.0413705099999999</v>
      </c>
    </row>
    <row r="514" spans="1:3">
      <c r="A514" s="531">
        <v>43934</v>
      </c>
      <c r="B514" s="532">
        <v>2.0000000000000001E-4</v>
      </c>
      <c r="C514" s="640">
        <v>1.04137167</v>
      </c>
    </row>
    <row r="515" spans="1:3">
      <c r="A515" s="531">
        <v>43935</v>
      </c>
      <c r="B515" s="532">
        <v>5.9999999999999995E-4</v>
      </c>
      <c r="C515" s="640">
        <v>1.04137225</v>
      </c>
    </row>
    <row r="516" spans="1:3">
      <c r="A516" s="531">
        <v>43936</v>
      </c>
      <c r="B516" s="532">
        <v>2.9999999999999997E-4</v>
      </c>
      <c r="C516" s="640">
        <v>1.0413739799999999</v>
      </c>
    </row>
    <row r="517" spans="1:3">
      <c r="A517" s="531">
        <v>43937</v>
      </c>
      <c r="B517" s="532">
        <v>2.9999999999999997E-4</v>
      </c>
      <c r="C517" s="640">
        <v>1.04137485</v>
      </c>
    </row>
    <row r="518" spans="1:3">
      <c r="A518" s="531">
        <v>43938</v>
      </c>
      <c r="B518" s="532">
        <v>2.9999999999999997E-4</v>
      </c>
      <c r="C518" s="640">
        <v>1.04137572</v>
      </c>
    </row>
    <row r="519" spans="1:3">
      <c r="A519" s="531">
        <v>43941</v>
      </c>
      <c r="B519" s="532">
        <v>2.0000000000000001E-4</v>
      </c>
      <c r="C519" s="640">
        <v>1.04137832</v>
      </c>
    </row>
    <row r="520" spans="1:3">
      <c r="A520" s="531">
        <v>43942</v>
      </c>
      <c r="B520" s="532">
        <v>1E-4</v>
      </c>
      <c r="C520" s="640">
        <v>1.0413789</v>
      </c>
    </row>
    <row r="521" spans="1:3">
      <c r="A521" s="531">
        <v>43943</v>
      </c>
      <c r="B521" s="532">
        <v>1E-4</v>
      </c>
      <c r="C521" s="640">
        <v>1.04137919</v>
      </c>
    </row>
    <row r="522" spans="1:3">
      <c r="A522" s="531">
        <v>43944</v>
      </c>
      <c r="B522" s="532">
        <v>1E-4</v>
      </c>
      <c r="C522" s="640">
        <v>1.04137948</v>
      </c>
    </row>
    <row r="523" spans="1:3">
      <c r="A523" s="531">
        <v>43945</v>
      </c>
      <c r="B523" s="532">
        <v>2.9999999999999997E-4</v>
      </c>
      <c r="C523" s="640">
        <v>1.04137977</v>
      </c>
    </row>
    <row r="524" spans="1:3">
      <c r="A524" s="531">
        <v>43948</v>
      </c>
      <c r="B524" s="532">
        <v>2.9999999999999997E-4</v>
      </c>
      <c r="C524" s="640">
        <v>1.04138237</v>
      </c>
    </row>
    <row r="525" spans="1:3">
      <c r="A525" s="531">
        <v>43949</v>
      </c>
      <c r="B525" s="532">
        <v>1E-4</v>
      </c>
      <c r="C525" s="640">
        <v>1.04138324</v>
      </c>
    </row>
    <row r="526" spans="1:3">
      <c r="A526" s="531">
        <v>43950</v>
      </c>
      <c r="B526" s="532">
        <v>1E-4</v>
      </c>
      <c r="C526" s="640">
        <v>1.0413835300000001</v>
      </c>
    </row>
    <row r="527" spans="1:3">
      <c r="A527" s="531">
        <v>43951</v>
      </c>
      <c r="B527" s="532">
        <v>4.0000000000000002E-4</v>
      </c>
      <c r="C527" s="640">
        <v>1.0413838200000001</v>
      </c>
    </row>
    <row r="528" spans="1:3">
      <c r="A528" s="531">
        <v>43952</v>
      </c>
      <c r="B528" s="532">
        <v>2.9999999999999997E-4</v>
      </c>
      <c r="C528" s="640">
        <v>1.0413849799999999</v>
      </c>
    </row>
    <row r="529" spans="1:3">
      <c r="A529" s="531">
        <v>43955</v>
      </c>
      <c r="B529" s="532">
        <v>5.0000000000000001E-4</v>
      </c>
      <c r="C529" s="640">
        <v>1.0413875800000001</v>
      </c>
    </row>
    <row r="530" spans="1:3">
      <c r="A530" s="531">
        <v>43956</v>
      </c>
      <c r="B530" s="532">
        <v>5.0000000000000001E-4</v>
      </c>
      <c r="C530" s="640">
        <v>1.0413890299999999</v>
      </c>
    </row>
    <row r="531" spans="1:3">
      <c r="A531" s="531">
        <v>43957</v>
      </c>
      <c r="B531" s="532">
        <v>5.0000000000000001E-4</v>
      </c>
      <c r="C531" s="640">
        <v>1.0413904700000001</v>
      </c>
    </row>
    <row r="532" spans="1:3">
      <c r="A532" s="531">
        <v>43958</v>
      </c>
      <c r="B532" s="532">
        <v>5.0000000000000001E-4</v>
      </c>
      <c r="C532" s="640">
        <v>1.0413919199999999</v>
      </c>
    </row>
    <row r="533" spans="1:3">
      <c r="A533" s="531">
        <v>43959</v>
      </c>
      <c r="B533" s="532">
        <v>5.9999999999999995E-4</v>
      </c>
      <c r="C533" s="640">
        <v>1.04139337</v>
      </c>
    </row>
    <row r="534" spans="1:3">
      <c r="A534" s="531">
        <v>43962</v>
      </c>
      <c r="B534" s="532">
        <v>5.9999999999999995E-4</v>
      </c>
      <c r="C534" s="640">
        <v>1.0413985699999999</v>
      </c>
    </row>
    <row r="535" spans="1:3">
      <c r="A535" s="531">
        <v>43963</v>
      </c>
      <c r="B535" s="532">
        <v>5.9999999999999995E-4</v>
      </c>
      <c r="C535" s="640">
        <v>1.04140031</v>
      </c>
    </row>
    <row r="536" spans="1:3">
      <c r="A536" s="531">
        <v>43964</v>
      </c>
      <c r="B536" s="532">
        <v>4.0000000000000002E-4</v>
      </c>
      <c r="C536" s="640">
        <v>1.0414020399999999</v>
      </c>
    </row>
    <row r="537" spans="1:3">
      <c r="A537" s="531">
        <v>43965</v>
      </c>
      <c r="B537" s="532">
        <v>2.0000000000000001E-4</v>
      </c>
      <c r="C537" s="640">
        <v>1.0414032</v>
      </c>
    </row>
    <row r="538" spans="1:3">
      <c r="A538" s="531">
        <v>43966</v>
      </c>
      <c r="B538" s="532">
        <v>5.0000000000000001E-4</v>
      </c>
      <c r="C538" s="640">
        <v>1.04140378</v>
      </c>
    </row>
    <row r="539" spans="1:3">
      <c r="A539" s="531">
        <v>43969</v>
      </c>
      <c r="B539" s="532">
        <v>4.0000000000000002E-4</v>
      </c>
      <c r="C539" s="640">
        <v>1.04140812</v>
      </c>
    </row>
    <row r="540" spans="1:3">
      <c r="A540" s="531">
        <v>43970</v>
      </c>
      <c r="B540" s="532">
        <v>4.0000000000000002E-4</v>
      </c>
      <c r="C540" s="640">
        <v>1.0414092800000001</v>
      </c>
    </row>
    <row r="541" spans="1:3">
      <c r="A541" s="531">
        <v>43971</v>
      </c>
      <c r="B541" s="532">
        <v>1E-4</v>
      </c>
      <c r="C541" s="640">
        <v>1.04141043</v>
      </c>
    </row>
    <row r="542" spans="1:3">
      <c r="A542" s="531">
        <v>43972</v>
      </c>
      <c r="B542" s="532">
        <v>2.0000000000000001E-4</v>
      </c>
      <c r="C542" s="640">
        <v>1.04141072</v>
      </c>
    </row>
    <row r="543" spans="1:3">
      <c r="A543" s="531">
        <v>43973</v>
      </c>
      <c r="B543" s="532">
        <v>4.0000000000000002E-4</v>
      </c>
      <c r="C543" s="640">
        <v>1.0414113</v>
      </c>
    </row>
    <row r="544" spans="1:3">
      <c r="A544" s="531">
        <v>43977</v>
      </c>
      <c r="B544" s="532">
        <v>5.9999999999999995E-4</v>
      </c>
      <c r="C544" s="640">
        <v>1.0414159300000001</v>
      </c>
    </row>
    <row r="545" spans="1:3">
      <c r="A545" s="531">
        <v>43978</v>
      </c>
      <c r="B545" s="532">
        <v>5.9999999999999995E-4</v>
      </c>
      <c r="C545" s="640">
        <v>1.04141767</v>
      </c>
    </row>
    <row r="546" spans="1:3">
      <c r="A546" s="531">
        <v>43979</v>
      </c>
      <c r="B546" s="532">
        <v>5.9999999999999995E-4</v>
      </c>
      <c r="C546" s="640">
        <v>1.0414194000000001</v>
      </c>
    </row>
    <row r="547" spans="1:3">
      <c r="A547" s="531">
        <v>43980</v>
      </c>
      <c r="B547" s="532">
        <v>5.9999999999999995E-4</v>
      </c>
      <c r="C547" s="640">
        <v>1.04142114</v>
      </c>
    </row>
    <row r="548" spans="1:3">
      <c r="A548" s="531">
        <v>43983</v>
      </c>
      <c r="B548" s="532">
        <v>5.9999999999999995E-4</v>
      </c>
      <c r="C548" s="640">
        <v>1.0414263399999999</v>
      </c>
    </row>
    <row r="549" spans="1:3">
      <c r="A549" s="531">
        <v>43984</v>
      </c>
      <c r="B549" s="532">
        <v>7.000000000000001E-4</v>
      </c>
      <c r="C549" s="640">
        <v>1.04142808</v>
      </c>
    </row>
    <row r="550" spans="1:3">
      <c r="A550" s="531">
        <v>43985</v>
      </c>
      <c r="B550" s="532">
        <v>5.9999999999999995E-4</v>
      </c>
      <c r="C550" s="640">
        <v>1.0414300999999999</v>
      </c>
    </row>
    <row r="551" spans="1:3">
      <c r="A551" s="531">
        <v>43986</v>
      </c>
      <c r="B551" s="532">
        <v>7.000000000000001E-4</v>
      </c>
      <c r="C551" s="640">
        <v>1.04143184</v>
      </c>
    </row>
    <row r="552" spans="1:3">
      <c r="A552" s="531">
        <v>43987</v>
      </c>
      <c r="B552" s="532">
        <v>7.000000000000001E-4</v>
      </c>
      <c r="C552" s="640">
        <v>1.0414338599999999</v>
      </c>
    </row>
    <row r="553" spans="1:3">
      <c r="A553" s="531">
        <v>43990</v>
      </c>
      <c r="B553" s="532">
        <v>7.000000000000001E-4</v>
      </c>
      <c r="C553" s="640">
        <v>1.0414399400000001</v>
      </c>
    </row>
    <row r="554" spans="1:3">
      <c r="A554" s="531">
        <v>43991</v>
      </c>
      <c r="B554" s="532">
        <v>8.0000000000000004E-4</v>
      </c>
      <c r="C554" s="640">
        <v>1.04144196</v>
      </c>
    </row>
    <row r="555" spans="1:3">
      <c r="A555" s="531">
        <v>43992</v>
      </c>
      <c r="B555" s="532">
        <v>7.000000000000001E-4</v>
      </c>
      <c r="C555" s="640">
        <v>1.0414442799999999</v>
      </c>
    </row>
    <row r="556" spans="1:3">
      <c r="A556" s="531">
        <v>43993</v>
      </c>
      <c r="B556" s="532">
        <v>8.0000000000000004E-4</v>
      </c>
      <c r="C556" s="640">
        <v>1.0414463</v>
      </c>
    </row>
    <row r="557" spans="1:3">
      <c r="A557" s="531">
        <v>43994</v>
      </c>
      <c r="B557" s="532">
        <v>8.0000000000000004E-4</v>
      </c>
      <c r="C557" s="640">
        <v>1.0414486199999999</v>
      </c>
    </row>
    <row r="558" spans="1:3">
      <c r="A558" s="531">
        <v>43997</v>
      </c>
      <c r="B558" s="532">
        <v>8.9999999999999998E-4</v>
      </c>
      <c r="C558" s="640">
        <v>1.0414555599999999</v>
      </c>
    </row>
    <row r="559" spans="1:3">
      <c r="A559" s="531">
        <v>43998</v>
      </c>
      <c r="B559" s="532">
        <v>8.9999999999999998E-4</v>
      </c>
      <c r="C559" s="640">
        <v>1.0414581700000001</v>
      </c>
    </row>
    <row r="560" spans="1:3">
      <c r="A560" s="531">
        <v>43999</v>
      </c>
      <c r="B560" s="532">
        <v>8.9999999999999998E-4</v>
      </c>
      <c r="C560" s="640">
        <v>1.04146077</v>
      </c>
    </row>
    <row r="561" spans="1:3">
      <c r="A561" s="531">
        <v>44000</v>
      </c>
      <c r="B561" s="532">
        <v>8.9999999999999998E-4</v>
      </c>
      <c r="C561" s="640">
        <v>1.04146337</v>
      </c>
    </row>
    <row r="562" spans="1:3">
      <c r="A562" s="531">
        <v>44001</v>
      </c>
      <c r="B562" s="532">
        <v>8.9999999999999998E-4</v>
      </c>
      <c r="C562" s="640">
        <v>1.0414659799999999</v>
      </c>
    </row>
    <row r="563" spans="1:3">
      <c r="A563" s="531">
        <v>44004</v>
      </c>
      <c r="B563" s="532">
        <v>8.0000000000000004E-4</v>
      </c>
      <c r="C563" s="640">
        <v>1.04147379</v>
      </c>
    </row>
    <row r="564" spans="1:3">
      <c r="A564" s="531">
        <v>44005</v>
      </c>
      <c r="B564" s="532">
        <v>7.000000000000001E-4</v>
      </c>
      <c r="C564" s="640">
        <v>1.0414760999999999</v>
      </c>
    </row>
    <row r="565" spans="1:3">
      <c r="A565" s="531">
        <v>44006</v>
      </c>
      <c r="B565" s="532">
        <v>8.0000000000000004E-4</v>
      </c>
      <c r="C565" s="640">
        <v>1.04147813</v>
      </c>
    </row>
    <row r="566" spans="1:3">
      <c r="A566" s="531">
        <v>44007</v>
      </c>
      <c r="B566" s="532">
        <v>8.9999999999999998E-4</v>
      </c>
      <c r="C566" s="640">
        <v>1.04148044</v>
      </c>
    </row>
    <row r="567" spans="1:3">
      <c r="A567" s="531">
        <v>44008</v>
      </c>
      <c r="B567" s="532">
        <v>8.0000000000000004E-4</v>
      </c>
      <c r="C567" s="640">
        <v>1.0414830399999999</v>
      </c>
    </row>
    <row r="568" spans="1:3">
      <c r="A568" s="531">
        <v>44011</v>
      </c>
      <c r="B568" s="532">
        <v>8.0000000000000004E-4</v>
      </c>
      <c r="C568" s="640">
        <v>1.0414899900000001</v>
      </c>
    </row>
    <row r="569" spans="1:3">
      <c r="A569" s="531">
        <v>44012</v>
      </c>
      <c r="B569" s="532">
        <v>1E-3</v>
      </c>
      <c r="C569" s="640">
        <v>1.0414923</v>
      </c>
    </row>
    <row r="570" spans="1:3">
      <c r="A570" s="531">
        <v>44013</v>
      </c>
      <c r="B570" s="532">
        <v>1.1000000000000001E-3</v>
      </c>
      <c r="C570" s="640">
        <v>1.0414952</v>
      </c>
    </row>
    <row r="571" spans="1:3">
      <c r="A571" s="531">
        <v>44014</v>
      </c>
      <c r="B571" s="532">
        <v>1.1000000000000001E-3</v>
      </c>
      <c r="C571" s="640">
        <v>1.0414983799999999</v>
      </c>
    </row>
    <row r="572" spans="1:3">
      <c r="A572" s="531">
        <v>44018</v>
      </c>
      <c r="B572" s="532">
        <v>1E-3</v>
      </c>
      <c r="C572" s="640">
        <v>1.0415111100000001</v>
      </c>
    </row>
    <row r="573" spans="1:3">
      <c r="A573" s="531">
        <v>44019</v>
      </c>
      <c r="B573" s="532">
        <v>1E-3</v>
      </c>
      <c r="C573" s="640">
        <v>1.0415140000000001</v>
      </c>
    </row>
    <row r="574" spans="1:3">
      <c r="A574" s="531">
        <v>44020</v>
      </c>
      <c r="B574" s="532">
        <v>1E-3</v>
      </c>
      <c r="C574" s="640">
        <v>1.04151689</v>
      </c>
    </row>
    <row r="575" spans="1:3">
      <c r="A575" s="531">
        <v>44021</v>
      </c>
      <c r="B575" s="532">
        <v>1E-3</v>
      </c>
      <c r="C575" s="640">
        <v>1.0415197899999999</v>
      </c>
    </row>
    <row r="576" spans="1:3">
      <c r="A576" s="531">
        <v>44022</v>
      </c>
      <c r="B576" s="532">
        <v>1E-3</v>
      </c>
      <c r="C576" s="640">
        <v>1.0415226799999999</v>
      </c>
    </row>
    <row r="577" spans="1:3">
      <c r="A577" s="531">
        <v>44025</v>
      </c>
      <c r="B577" s="532">
        <v>1E-3</v>
      </c>
      <c r="C577" s="640">
        <v>1.04153136</v>
      </c>
    </row>
    <row r="578" spans="1:3">
      <c r="A578" s="531">
        <v>44026</v>
      </c>
      <c r="B578" s="532">
        <v>1.1000000000000001E-3</v>
      </c>
      <c r="C578" s="640">
        <v>1.04153425</v>
      </c>
    </row>
    <row r="579" spans="1:3">
      <c r="A579" s="531">
        <v>44027</v>
      </c>
      <c r="B579" s="532">
        <v>1.2999999999999999E-3</v>
      </c>
      <c r="C579" s="640">
        <v>1.04153743</v>
      </c>
    </row>
    <row r="580" spans="1:3">
      <c r="A580" s="531">
        <v>44028</v>
      </c>
      <c r="B580" s="532">
        <v>1.1999999999999999E-3</v>
      </c>
      <c r="C580" s="640">
        <v>1.0415411999999999</v>
      </c>
    </row>
    <row r="581" spans="1:3">
      <c r="A581" s="531">
        <v>44029</v>
      </c>
      <c r="B581" s="532">
        <v>1.1999999999999999E-3</v>
      </c>
      <c r="C581" s="640">
        <v>1.04154467</v>
      </c>
    </row>
    <row r="582" spans="1:3">
      <c r="A582" s="531">
        <v>44032</v>
      </c>
      <c r="B582" s="532">
        <v>1.1999999999999999E-3</v>
      </c>
      <c r="C582" s="640">
        <v>1.04155508</v>
      </c>
    </row>
    <row r="583" spans="1:3">
      <c r="A583" s="531">
        <v>44033</v>
      </c>
      <c r="B583" s="532">
        <v>1.1000000000000001E-3</v>
      </c>
      <c r="C583" s="640">
        <v>1.04155855</v>
      </c>
    </row>
    <row r="584" spans="1:3">
      <c r="A584" s="531">
        <v>44034</v>
      </c>
      <c r="B584" s="532">
        <v>1E-3</v>
      </c>
      <c r="C584" s="640">
        <v>1.0415617399999999</v>
      </c>
    </row>
    <row r="585" spans="1:3">
      <c r="A585" s="531">
        <v>44035</v>
      </c>
      <c r="B585" s="532">
        <v>1E-3</v>
      </c>
      <c r="C585" s="640">
        <v>1.0415646300000001</v>
      </c>
    </row>
    <row r="586" spans="1:3">
      <c r="A586" s="531">
        <v>44036</v>
      </c>
      <c r="B586" s="532">
        <v>1E-3</v>
      </c>
      <c r="C586" s="640">
        <v>1.0415675200000001</v>
      </c>
    </row>
    <row r="587" spans="1:3">
      <c r="A587" s="531">
        <v>44039</v>
      </c>
      <c r="B587" s="532">
        <v>1E-3</v>
      </c>
      <c r="C587" s="640">
        <v>1.0415762</v>
      </c>
    </row>
    <row r="588" spans="1:3">
      <c r="A588" s="531">
        <v>44040</v>
      </c>
      <c r="B588" s="532">
        <v>1E-3</v>
      </c>
      <c r="C588" s="640">
        <v>1.0415791000000001</v>
      </c>
    </row>
    <row r="589" spans="1:3">
      <c r="A589" s="531">
        <v>44041</v>
      </c>
      <c r="B589" s="532">
        <v>8.9999999999999998E-4</v>
      </c>
      <c r="C589" s="640">
        <v>1.0415819900000001</v>
      </c>
    </row>
    <row r="590" spans="1:3">
      <c r="A590" s="531">
        <v>44042</v>
      </c>
      <c r="B590" s="532">
        <v>1E-3</v>
      </c>
      <c r="C590" s="640">
        <v>1.04158459</v>
      </c>
    </row>
    <row r="591" spans="1:3">
      <c r="A591" s="531">
        <v>44043</v>
      </c>
      <c r="B591" s="532">
        <v>1E-3</v>
      </c>
      <c r="C591" s="640">
        <v>1.0415874899999999</v>
      </c>
    </row>
    <row r="592" spans="1:3">
      <c r="A592" s="531">
        <v>44046</v>
      </c>
      <c r="B592" s="532">
        <v>1E-3</v>
      </c>
      <c r="C592" s="640">
        <v>1.04159617</v>
      </c>
    </row>
    <row r="593" spans="1:3">
      <c r="A593" s="531">
        <v>44047</v>
      </c>
      <c r="B593" s="532">
        <v>8.9999999999999998E-4</v>
      </c>
      <c r="C593" s="640">
        <v>1.04159906</v>
      </c>
    </row>
    <row r="594" spans="1:3">
      <c r="A594" s="531">
        <v>44048</v>
      </c>
      <c r="B594" s="532">
        <v>8.9999999999999998E-4</v>
      </c>
      <c r="C594" s="640">
        <v>1.04160166</v>
      </c>
    </row>
    <row r="595" spans="1:3">
      <c r="A595" s="531">
        <v>44049</v>
      </c>
      <c r="B595" s="532">
        <v>8.9999999999999998E-4</v>
      </c>
      <c r="C595" s="640">
        <v>1.0416042700000001</v>
      </c>
    </row>
    <row r="596" spans="1:3">
      <c r="A596" s="531">
        <v>44050</v>
      </c>
      <c r="B596" s="532">
        <v>8.9999999999999998E-4</v>
      </c>
      <c r="C596" s="640">
        <v>1.0416068700000001</v>
      </c>
    </row>
    <row r="597" spans="1:3">
      <c r="A597" s="531">
        <v>44053</v>
      </c>
      <c r="B597" s="532">
        <v>8.9999999999999998E-4</v>
      </c>
      <c r="C597" s="640">
        <v>1.0416146799999999</v>
      </c>
    </row>
    <row r="598" spans="1:3">
      <c r="A598" s="531">
        <v>44054</v>
      </c>
      <c r="B598" s="532">
        <v>1E-3</v>
      </c>
      <c r="C598" s="640">
        <v>1.04161729</v>
      </c>
    </row>
    <row r="599" spans="1:3">
      <c r="A599" s="531">
        <v>44055</v>
      </c>
      <c r="B599" s="532">
        <v>8.9999999999999998E-4</v>
      </c>
      <c r="C599" s="640">
        <v>1.04162018</v>
      </c>
    </row>
    <row r="600" spans="1:3">
      <c r="A600" s="531">
        <v>44056</v>
      </c>
      <c r="B600" s="532">
        <v>8.9999999999999998E-4</v>
      </c>
      <c r="C600" s="640">
        <v>1.0416227899999999</v>
      </c>
    </row>
    <row r="601" spans="1:3">
      <c r="A601" s="531">
        <v>44057</v>
      </c>
      <c r="B601" s="532">
        <v>8.9999999999999998E-4</v>
      </c>
      <c r="C601" s="640">
        <v>1.0416253900000001</v>
      </c>
    </row>
    <row r="602" spans="1:3">
      <c r="A602" s="531">
        <v>44060</v>
      </c>
      <c r="B602" s="532">
        <v>1E-3</v>
      </c>
      <c r="C602" s="640">
        <v>1.0416331999999999</v>
      </c>
    </row>
    <row r="603" spans="1:3">
      <c r="A603" s="531">
        <v>44061</v>
      </c>
      <c r="B603" s="532">
        <v>8.9999999999999998E-4</v>
      </c>
      <c r="C603" s="640">
        <v>1.0416361000000001</v>
      </c>
    </row>
    <row r="604" spans="1:3">
      <c r="A604" s="531">
        <v>44062</v>
      </c>
      <c r="B604" s="532">
        <v>8.9999999999999998E-4</v>
      </c>
      <c r="C604" s="640">
        <v>1.0416387</v>
      </c>
    </row>
    <row r="605" spans="1:3">
      <c r="A605" s="531">
        <v>44063</v>
      </c>
      <c r="B605" s="532">
        <v>7.000000000000001E-4</v>
      </c>
      <c r="C605" s="640">
        <v>1.0416413</v>
      </c>
    </row>
    <row r="606" spans="1:3">
      <c r="A606" s="531">
        <v>44064</v>
      </c>
      <c r="B606" s="532">
        <v>7.000000000000001E-4</v>
      </c>
      <c r="C606" s="640">
        <v>1.0416433300000001</v>
      </c>
    </row>
    <row r="607" spans="1:3">
      <c r="A607" s="531">
        <v>44067</v>
      </c>
      <c r="B607" s="532">
        <v>8.0000000000000004E-4</v>
      </c>
      <c r="C607" s="640">
        <v>1.04164941</v>
      </c>
    </row>
    <row r="608" spans="1:3">
      <c r="A608" s="531">
        <v>44068</v>
      </c>
      <c r="B608" s="532">
        <v>8.0000000000000004E-4</v>
      </c>
      <c r="C608" s="640">
        <v>1.0416517199999999</v>
      </c>
    </row>
    <row r="609" spans="1:3">
      <c r="A609" s="531">
        <v>44069</v>
      </c>
      <c r="B609" s="532">
        <v>7.000000000000001E-4</v>
      </c>
      <c r="C609" s="640">
        <v>1.0416540400000001</v>
      </c>
    </row>
    <row r="610" spans="1:3">
      <c r="A610" s="531">
        <v>44070</v>
      </c>
      <c r="B610" s="532">
        <v>7.000000000000001E-4</v>
      </c>
      <c r="C610" s="640">
        <v>1.04165606</v>
      </c>
    </row>
    <row r="611" spans="1:3">
      <c r="A611" s="531">
        <v>44071</v>
      </c>
      <c r="B611" s="532">
        <v>7.000000000000001E-4</v>
      </c>
      <c r="C611" s="640">
        <v>1.0416580900000001</v>
      </c>
    </row>
    <row r="612" spans="1:3">
      <c r="A612" s="531">
        <v>44074</v>
      </c>
      <c r="B612" s="532">
        <v>8.9999999999999998E-4</v>
      </c>
      <c r="C612" s="640">
        <v>1.0416641600000001</v>
      </c>
    </row>
    <row r="613" spans="1:3">
      <c r="A613" s="531">
        <v>44075</v>
      </c>
      <c r="B613" s="532">
        <v>8.9999999999999998E-4</v>
      </c>
      <c r="C613" s="640">
        <v>1.04166677</v>
      </c>
    </row>
    <row r="614" spans="1:3">
      <c r="A614" s="531">
        <v>44076</v>
      </c>
      <c r="B614" s="532">
        <v>8.9999999999999998E-4</v>
      </c>
      <c r="C614" s="640">
        <v>1.0416693699999999</v>
      </c>
    </row>
    <row r="615" spans="1:3">
      <c r="A615" s="531">
        <v>44077</v>
      </c>
      <c r="B615" s="532">
        <v>1E-3</v>
      </c>
      <c r="C615" s="640">
        <v>1.0416719699999999</v>
      </c>
    </row>
    <row r="616" spans="1:3">
      <c r="A616" s="531">
        <v>44078</v>
      </c>
      <c r="B616" s="532">
        <v>8.9999999999999998E-4</v>
      </c>
      <c r="C616" s="640">
        <v>1.04167487</v>
      </c>
    </row>
    <row r="617" spans="1:3">
      <c r="A617" s="531">
        <v>44082</v>
      </c>
      <c r="B617" s="532">
        <v>8.9999999999999998E-4</v>
      </c>
      <c r="C617" s="640">
        <v>1.04168529</v>
      </c>
    </row>
    <row r="618" spans="1:3">
      <c r="A618" s="531">
        <v>44083</v>
      </c>
      <c r="B618" s="532">
        <v>8.9999999999999998E-4</v>
      </c>
      <c r="C618" s="640">
        <v>1.0416878899999999</v>
      </c>
    </row>
    <row r="619" spans="1:3">
      <c r="A619" s="531">
        <v>44084</v>
      </c>
      <c r="B619" s="532">
        <v>8.9999999999999998E-4</v>
      </c>
      <c r="C619" s="640">
        <v>1.0416904899999999</v>
      </c>
    </row>
    <row r="620" spans="1:3">
      <c r="A620" s="531">
        <v>44085</v>
      </c>
      <c r="B620" s="532">
        <v>8.9999999999999998E-4</v>
      </c>
      <c r="C620" s="640">
        <v>1.0416931</v>
      </c>
    </row>
    <row r="621" spans="1:3">
      <c r="A621" s="531">
        <v>44088</v>
      </c>
      <c r="B621" s="532">
        <v>8.9999999999999998E-4</v>
      </c>
      <c r="C621" s="640">
        <v>1.0417009100000001</v>
      </c>
    </row>
    <row r="622" spans="1:3">
      <c r="A622" s="531">
        <v>44089</v>
      </c>
      <c r="B622" s="532">
        <v>1E-3</v>
      </c>
      <c r="C622" s="640">
        <v>1.0417035100000001</v>
      </c>
    </row>
    <row r="623" spans="1:3">
      <c r="A623" s="531">
        <v>44090</v>
      </c>
      <c r="B623" s="532">
        <v>1E-3</v>
      </c>
      <c r="C623" s="640">
        <v>1.04170641</v>
      </c>
    </row>
    <row r="624" spans="1:3">
      <c r="A624" s="531">
        <v>44091</v>
      </c>
      <c r="B624" s="532">
        <v>1E-3</v>
      </c>
      <c r="C624" s="640">
        <v>1.0417092999999999</v>
      </c>
    </row>
    <row r="625" spans="1:3">
      <c r="A625" s="531">
        <v>44092</v>
      </c>
      <c r="B625" s="532">
        <v>8.9999999999999998E-4</v>
      </c>
      <c r="C625" s="640">
        <v>1.0417122000000001</v>
      </c>
    </row>
    <row r="626" spans="1:3">
      <c r="A626" s="531">
        <v>44095</v>
      </c>
      <c r="B626" s="532">
        <v>8.0000000000000004E-4</v>
      </c>
      <c r="C626" s="640">
        <v>1.0417200099999999</v>
      </c>
    </row>
    <row r="627" spans="1:3">
      <c r="A627" s="531">
        <v>44096</v>
      </c>
      <c r="B627" s="532">
        <v>7.000000000000001E-4</v>
      </c>
      <c r="C627" s="640">
        <v>1.0417223200000001</v>
      </c>
    </row>
    <row r="628" spans="1:3">
      <c r="A628" s="531">
        <v>44097</v>
      </c>
      <c r="B628" s="532">
        <v>5.9999999999999995E-4</v>
      </c>
      <c r="C628" s="640">
        <v>1.04172435</v>
      </c>
    </row>
    <row r="629" spans="1:3">
      <c r="A629" s="531">
        <v>44098</v>
      </c>
      <c r="B629" s="532">
        <v>7.000000000000001E-4</v>
      </c>
      <c r="C629" s="640">
        <v>1.04172609</v>
      </c>
    </row>
    <row r="630" spans="1:3">
      <c r="A630" s="531">
        <v>44099</v>
      </c>
      <c r="B630" s="532">
        <v>8.0000000000000004E-4</v>
      </c>
      <c r="C630" s="640">
        <v>1.04172811</v>
      </c>
    </row>
    <row r="631" spans="1:3">
      <c r="A631" s="531">
        <v>44102</v>
      </c>
      <c r="B631" s="532">
        <v>8.0000000000000004E-4</v>
      </c>
      <c r="C631" s="640">
        <v>1.0417350599999999</v>
      </c>
    </row>
    <row r="632" spans="1:3">
      <c r="A632" s="531">
        <v>44103</v>
      </c>
      <c r="B632" s="532">
        <v>7.000000000000001E-4</v>
      </c>
      <c r="C632" s="640">
        <v>1.0417373700000001</v>
      </c>
    </row>
    <row r="633" spans="1:3">
      <c r="A633" s="531">
        <v>44104</v>
      </c>
      <c r="B633" s="532">
        <v>8.0000000000000004E-4</v>
      </c>
      <c r="C633" s="640">
        <v>1.0417394</v>
      </c>
    </row>
    <row r="634" spans="1:3">
      <c r="A634" s="531">
        <v>44105</v>
      </c>
      <c r="B634" s="532">
        <v>8.0000000000000004E-4</v>
      </c>
      <c r="C634" s="640">
        <v>1.0417417099999999</v>
      </c>
    </row>
    <row r="635" spans="1:3">
      <c r="A635" s="531">
        <v>44106</v>
      </c>
      <c r="B635" s="532">
        <v>1E-3</v>
      </c>
      <c r="C635" s="640">
        <v>1.04174403</v>
      </c>
    </row>
    <row r="636" spans="1:3">
      <c r="A636" s="531">
        <v>44109</v>
      </c>
      <c r="B636" s="532">
        <v>8.9999999999999998E-4</v>
      </c>
      <c r="C636" s="640">
        <v>1.0417527099999999</v>
      </c>
    </row>
    <row r="637" spans="1:3">
      <c r="A637" s="531">
        <v>44110</v>
      </c>
      <c r="B637" s="532">
        <v>1E-3</v>
      </c>
      <c r="C637" s="640">
        <v>1.0417553100000001</v>
      </c>
    </row>
    <row r="638" spans="1:3">
      <c r="A638" s="531">
        <v>44111</v>
      </c>
      <c r="B638" s="532">
        <v>8.9999999999999998E-4</v>
      </c>
      <c r="C638" s="640">
        <v>1.04175821</v>
      </c>
    </row>
    <row r="639" spans="1:3">
      <c r="A639" s="531">
        <v>44112</v>
      </c>
      <c r="B639" s="532">
        <v>8.0000000000000004E-4</v>
      </c>
      <c r="C639" s="640">
        <v>1.04176081</v>
      </c>
    </row>
    <row r="640" spans="1:3">
      <c r="A640" s="531">
        <v>44113</v>
      </c>
      <c r="B640" s="532">
        <v>8.9999999999999998E-4</v>
      </c>
      <c r="C640" s="640">
        <v>1.0417631199999999</v>
      </c>
    </row>
    <row r="641" spans="1:3">
      <c r="A641" s="531">
        <v>44117</v>
      </c>
      <c r="B641" s="532">
        <v>8.9999999999999998E-4</v>
      </c>
      <c r="C641" s="640">
        <v>1.0417735400000001</v>
      </c>
    </row>
    <row r="642" spans="1:3">
      <c r="A642" s="531">
        <v>44118</v>
      </c>
      <c r="B642" s="532">
        <v>8.9999999999999998E-4</v>
      </c>
      <c r="C642" s="640">
        <v>1.04177615</v>
      </c>
    </row>
    <row r="643" spans="1:3">
      <c r="A643" s="531">
        <v>44119</v>
      </c>
      <c r="B643" s="532">
        <v>1E-3</v>
      </c>
      <c r="C643" s="640">
        <v>1.04177875</v>
      </c>
    </row>
    <row r="644" spans="1:3">
      <c r="A644" s="531">
        <v>44120</v>
      </c>
      <c r="B644" s="532">
        <v>8.9999999999999998E-4</v>
      </c>
      <c r="C644" s="640">
        <v>1.0417816499999999</v>
      </c>
    </row>
    <row r="645" spans="1:3">
      <c r="A645" s="531">
        <v>44123</v>
      </c>
      <c r="B645" s="532">
        <v>8.9999999999999998E-4</v>
      </c>
      <c r="C645" s="640">
        <v>1.0417894599999999</v>
      </c>
    </row>
    <row r="646" spans="1:3">
      <c r="A646" s="531">
        <v>44124</v>
      </c>
      <c r="B646" s="532">
        <v>8.0000000000000004E-4</v>
      </c>
      <c r="C646" s="640">
        <v>1.0417920599999999</v>
      </c>
    </row>
    <row r="647" spans="1:3">
      <c r="A647" s="531">
        <v>44125</v>
      </c>
      <c r="B647" s="532">
        <v>7.000000000000001E-4</v>
      </c>
      <c r="C647" s="640">
        <v>1.04179438</v>
      </c>
    </row>
    <row r="648" spans="1:3">
      <c r="A648" s="531">
        <v>44126</v>
      </c>
      <c r="B648" s="532">
        <v>7.000000000000001E-4</v>
      </c>
      <c r="C648" s="640">
        <v>1.0417964</v>
      </c>
    </row>
    <row r="649" spans="1:3">
      <c r="A649" s="531">
        <v>44127</v>
      </c>
      <c r="B649" s="532">
        <v>8.0000000000000004E-4</v>
      </c>
      <c r="C649" s="640">
        <v>1.0417984300000001</v>
      </c>
    </row>
    <row r="650" spans="1:3">
      <c r="A650" s="531">
        <v>44130</v>
      </c>
      <c r="B650" s="532">
        <v>8.9999999999999998E-4</v>
      </c>
      <c r="C650" s="640">
        <v>1.0418053700000001</v>
      </c>
    </row>
    <row r="651" spans="1:3">
      <c r="A651" s="531">
        <v>44131</v>
      </c>
      <c r="B651" s="532">
        <v>8.9999999999999998E-4</v>
      </c>
      <c r="C651" s="640">
        <v>1.04180798</v>
      </c>
    </row>
    <row r="652" spans="1:3">
      <c r="A652" s="531">
        <v>44132</v>
      </c>
      <c r="B652" s="532">
        <v>8.0000000000000004E-4</v>
      </c>
      <c r="C652" s="640">
        <v>1.0418105799999999</v>
      </c>
    </row>
    <row r="653" spans="1:3">
      <c r="A653" s="531">
        <v>44133</v>
      </c>
      <c r="B653" s="532">
        <v>8.9999999999999998E-4</v>
      </c>
      <c r="C653" s="640">
        <v>1.0418129</v>
      </c>
    </row>
    <row r="654" spans="1:3">
      <c r="A654" s="531">
        <v>44134</v>
      </c>
      <c r="B654" s="532">
        <v>8.9999999999999998E-4</v>
      </c>
      <c r="C654" s="640">
        <v>1.0418155</v>
      </c>
    </row>
    <row r="655" spans="1:3">
      <c r="A655" s="531">
        <v>44137</v>
      </c>
      <c r="B655" s="532">
        <v>1.1000000000000001E-3</v>
      </c>
      <c r="C655" s="640">
        <v>1.04182332</v>
      </c>
    </row>
    <row r="656" spans="1:3">
      <c r="A656" s="531">
        <v>44138</v>
      </c>
      <c r="B656" s="532">
        <v>1E-3</v>
      </c>
      <c r="C656" s="640">
        <v>1.0418265</v>
      </c>
    </row>
    <row r="657" spans="1:3">
      <c r="A657" s="531">
        <v>44139</v>
      </c>
      <c r="B657" s="532">
        <v>1E-3</v>
      </c>
      <c r="C657" s="640">
        <v>1.04182939</v>
      </c>
    </row>
    <row r="658" spans="1:3">
      <c r="A658" s="531">
        <v>44140</v>
      </c>
      <c r="B658" s="532">
        <v>1.1000000000000001E-3</v>
      </c>
      <c r="C658" s="640">
        <v>1.0418322900000001</v>
      </c>
    </row>
    <row r="659" spans="1:3">
      <c r="A659" s="531">
        <v>44141</v>
      </c>
      <c r="B659" s="532">
        <v>1E-3</v>
      </c>
      <c r="C659" s="640">
        <v>1.0418354700000001</v>
      </c>
    </row>
    <row r="660" spans="1:3">
      <c r="A660" s="531">
        <v>44144</v>
      </c>
      <c r="B660" s="532">
        <v>1E-3</v>
      </c>
      <c r="C660" s="640">
        <v>1.04184415</v>
      </c>
    </row>
    <row r="661" spans="1:3">
      <c r="A661" s="531">
        <v>44145</v>
      </c>
      <c r="B661" s="532">
        <v>1E-3</v>
      </c>
      <c r="C661" s="640">
        <v>1.0418470500000001</v>
      </c>
    </row>
    <row r="662" spans="1:3">
      <c r="A662" s="531">
        <v>44147</v>
      </c>
      <c r="B662" s="532">
        <v>8.9999999999999998E-4</v>
      </c>
      <c r="C662" s="640">
        <v>1.04185284</v>
      </c>
    </row>
    <row r="663" spans="1:3">
      <c r="A663" s="531">
        <v>44148</v>
      </c>
      <c r="B663" s="532">
        <v>8.9999999999999998E-4</v>
      </c>
      <c r="C663" s="640">
        <v>1.04185544</v>
      </c>
    </row>
    <row r="664" spans="1:3">
      <c r="A664" s="531">
        <v>44151</v>
      </c>
      <c r="B664" s="532">
        <v>1E-3</v>
      </c>
      <c r="C664" s="640">
        <v>1.04186325</v>
      </c>
    </row>
    <row r="665" spans="1:3">
      <c r="A665" s="531">
        <v>44152</v>
      </c>
      <c r="B665" s="532">
        <v>8.9999999999999998E-4</v>
      </c>
      <c r="C665" s="640">
        <v>1.0418661499999999</v>
      </c>
    </row>
    <row r="666" spans="1:3">
      <c r="A666" s="531">
        <v>44153</v>
      </c>
      <c r="B666" s="532">
        <v>7.000000000000001E-4</v>
      </c>
      <c r="C666" s="640">
        <v>1.0418687499999999</v>
      </c>
    </row>
    <row r="667" spans="1:3">
      <c r="A667" s="531">
        <v>44154</v>
      </c>
      <c r="B667" s="532">
        <v>5.9999999999999995E-4</v>
      </c>
      <c r="C667" s="640">
        <v>1.04187078</v>
      </c>
    </row>
    <row r="668" spans="1:3">
      <c r="A668" s="531">
        <v>44155</v>
      </c>
      <c r="B668" s="532">
        <v>5.0000000000000001E-4</v>
      </c>
      <c r="C668" s="640">
        <v>1.0418725200000001</v>
      </c>
    </row>
    <row r="669" spans="1:3">
      <c r="A669" s="531">
        <v>44158</v>
      </c>
      <c r="B669" s="532">
        <v>5.0000000000000001E-4</v>
      </c>
      <c r="C669" s="640">
        <v>1.0418768599999999</v>
      </c>
    </row>
    <row r="670" spans="1:3">
      <c r="A670" s="531">
        <v>44159</v>
      </c>
      <c r="B670" s="532">
        <v>7.000000000000001E-4</v>
      </c>
      <c r="C670" s="640">
        <v>1.0418783</v>
      </c>
    </row>
    <row r="671" spans="1:3">
      <c r="A671" s="531">
        <v>44160</v>
      </c>
      <c r="B671" s="532">
        <v>8.0000000000000004E-4</v>
      </c>
      <c r="C671" s="640">
        <v>1.0418803299999999</v>
      </c>
    </row>
    <row r="672" spans="1:3">
      <c r="A672" s="531">
        <v>44162</v>
      </c>
      <c r="B672" s="532">
        <v>8.0000000000000004E-4</v>
      </c>
      <c r="C672" s="640">
        <v>1.04188496</v>
      </c>
    </row>
    <row r="673" spans="1:3">
      <c r="A673" s="531">
        <v>44165</v>
      </c>
      <c r="B673" s="532">
        <v>8.9999999999999998E-4</v>
      </c>
      <c r="C673" s="640">
        <v>1.0418919099999999</v>
      </c>
    </row>
    <row r="674" spans="1:3">
      <c r="A674" s="531">
        <v>44166</v>
      </c>
      <c r="B674" s="532">
        <v>8.0000000000000004E-4</v>
      </c>
      <c r="C674" s="640">
        <v>1.0418945100000001</v>
      </c>
    </row>
    <row r="675" spans="1:3">
      <c r="A675" s="531">
        <v>44167</v>
      </c>
      <c r="B675" s="532">
        <v>8.0000000000000004E-4</v>
      </c>
      <c r="C675" s="640">
        <v>1.04189683</v>
      </c>
    </row>
    <row r="676" spans="1:3">
      <c r="A676" s="531">
        <v>44168</v>
      </c>
      <c r="B676" s="532">
        <v>8.0000000000000004E-4</v>
      </c>
      <c r="C676" s="640">
        <v>1.0418991399999999</v>
      </c>
    </row>
    <row r="677" spans="1:3">
      <c r="A677" s="531">
        <v>44169</v>
      </c>
      <c r="B677" s="532">
        <v>8.9999999999999998E-4</v>
      </c>
      <c r="C677" s="640">
        <v>1.0419014600000001</v>
      </c>
    </row>
    <row r="678" spans="1:3">
      <c r="A678" s="531">
        <v>44172</v>
      </c>
      <c r="B678" s="532">
        <v>8.0000000000000004E-4</v>
      </c>
      <c r="C678" s="640">
        <v>1.0419092700000001</v>
      </c>
    </row>
    <row r="679" spans="1:3">
      <c r="A679" s="531">
        <v>44173</v>
      </c>
      <c r="B679" s="532">
        <v>7.000000000000001E-4</v>
      </c>
      <c r="C679" s="640">
        <v>1.04191159</v>
      </c>
    </row>
    <row r="680" spans="1:3">
      <c r="A680" s="531">
        <v>44174</v>
      </c>
      <c r="B680" s="532">
        <v>8.0000000000000004E-4</v>
      </c>
      <c r="C680" s="640">
        <v>1.0419136099999999</v>
      </c>
    </row>
    <row r="681" spans="1:3">
      <c r="A681" s="531">
        <v>44175</v>
      </c>
      <c r="B681" s="532">
        <v>8.0000000000000004E-4</v>
      </c>
      <c r="C681" s="640">
        <v>1.04191593</v>
      </c>
    </row>
    <row r="682" spans="1:3">
      <c r="A682" s="531">
        <v>44176</v>
      </c>
      <c r="B682" s="532">
        <v>8.0000000000000004E-4</v>
      </c>
      <c r="C682" s="640">
        <v>1.04191824</v>
      </c>
    </row>
    <row r="683" spans="1:3">
      <c r="A683" s="531">
        <v>44179</v>
      </c>
      <c r="B683" s="532">
        <v>8.0000000000000004E-4</v>
      </c>
      <c r="C683" s="640">
        <v>1.0419251899999999</v>
      </c>
    </row>
    <row r="684" spans="1:3">
      <c r="A684" s="531">
        <v>44180</v>
      </c>
      <c r="B684" s="532">
        <v>8.9999999999999998E-4</v>
      </c>
      <c r="C684" s="640">
        <v>1.0419274999999999</v>
      </c>
    </row>
    <row r="685" spans="1:3">
      <c r="A685" s="531">
        <v>44181</v>
      </c>
      <c r="B685" s="532">
        <v>8.9999999999999998E-4</v>
      </c>
      <c r="C685" s="640">
        <v>1.04193011</v>
      </c>
    </row>
    <row r="686" spans="1:3">
      <c r="A686" s="531">
        <v>44182</v>
      </c>
      <c r="B686" s="532">
        <v>8.9999999999999998E-4</v>
      </c>
      <c r="C686" s="640">
        <v>1.04193271</v>
      </c>
    </row>
    <row r="687" spans="1:3">
      <c r="A687" s="531">
        <v>44183</v>
      </c>
      <c r="B687" s="532">
        <v>8.9999999999999998E-4</v>
      </c>
      <c r="C687" s="640">
        <v>1.0419353200000001</v>
      </c>
    </row>
    <row r="688" spans="1:3">
      <c r="A688" s="531">
        <v>44186</v>
      </c>
      <c r="B688" s="532">
        <v>8.9999999999999998E-4</v>
      </c>
      <c r="C688" s="640">
        <v>1.0419431299999999</v>
      </c>
    </row>
    <row r="689" spans="1:3">
      <c r="A689" s="531">
        <v>44187</v>
      </c>
      <c r="B689" s="532">
        <v>7.000000000000001E-4</v>
      </c>
      <c r="C689" s="640">
        <v>1.0419457400000001</v>
      </c>
    </row>
    <row r="690" spans="1:3">
      <c r="A690" s="531">
        <v>44188</v>
      </c>
      <c r="B690" s="532">
        <v>5.9999999999999995E-4</v>
      </c>
      <c r="C690" s="640">
        <v>1.04194776</v>
      </c>
    </row>
    <row r="691" spans="1:3">
      <c r="A691" s="531">
        <v>44189</v>
      </c>
      <c r="B691" s="532">
        <v>8.0000000000000004E-4</v>
      </c>
      <c r="C691" s="640">
        <v>1.0419495000000001</v>
      </c>
    </row>
    <row r="692" spans="1:3">
      <c r="A692" s="531">
        <v>44193</v>
      </c>
      <c r="B692" s="532">
        <v>8.9999999999999998E-4</v>
      </c>
      <c r="C692" s="640">
        <v>1.04195876</v>
      </c>
    </row>
    <row r="693" spans="1:3">
      <c r="A693" s="531">
        <v>44194</v>
      </c>
      <c r="B693" s="532">
        <v>1E-3</v>
      </c>
      <c r="C693" s="640">
        <v>1.0419613700000001</v>
      </c>
    </row>
    <row r="694" spans="1:3">
      <c r="A694" s="531">
        <v>44195</v>
      </c>
      <c r="B694" s="532">
        <v>8.9999999999999998E-4</v>
      </c>
      <c r="C694" s="640">
        <v>1.0419642600000001</v>
      </c>
    </row>
    <row r="695" spans="1:3">
      <c r="A695" s="531">
        <v>44196</v>
      </c>
      <c r="B695" s="532">
        <v>7.000000000000001E-4</v>
      </c>
      <c r="C695" s="640">
        <v>1.04196687</v>
      </c>
    </row>
    <row r="696" spans="1:3">
      <c r="A696" s="531">
        <v>44200</v>
      </c>
      <c r="B696" s="532">
        <v>1E-3</v>
      </c>
      <c r="C696" s="640">
        <v>1.0419749700000001</v>
      </c>
    </row>
    <row r="697" spans="1:3">
      <c r="A697" s="531">
        <v>44201</v>
      </c>
      <c r="B697" s="532">
        <v>1.1000000000000001E-3</v>
      </c>
      <c r="C697" s="640">
        <v>1.04197787</v>
      </c>
    </row>
    <row r="698" spans="1:3">
      <c r="A698" s="531">
        <v>44202</v>
      </c>
      <c r="B698" s="532">
        <v>1E-3</v>
      </c>
      <c r="C698" s="640">
        <v>1.04198105</v>
      </c>
    </row>
    <row r="699" spans="1:3">
      <c r="A699" s="531">
        <v>44203</v>
      </c>
      <c r="B699" s="532">
        <v>1E-3</v>
      </c>
      <c r="C699" s="640">
        <v>1.0419839399999999</v>
      </c>
    </row>
    <row r="700" spans="1:3">
      <c r="A700" s="531">
        <v>44204</v>
      </c>
      <c r="B700" s="532">
        <v>8.9999999999999998E-4</v>
      </c>
      <c r="C700" s="640">
        <v>1.0419868400000001</v>
      </c>
    </row>
    <row r="701" spans="1:3">
      <c r="A701" s="531">
        <v>44207</v>
      </c>
      <c r="B701" s="532">
        <v>8.9999999999999998E-4</v>
      </c>
      <c r="C701" s="640">
        <v>1.0419946499999999</v>
      </c>
    </row>
    <row r="702" spans="1:3">
      <c r="A702" s="531">
        <v>44208</v>
      </c>
      <c r="B702" s="532">
        <v>8.0000000000000004E-4</v>
      </c>
      <c r="C702" s="640">
        <v>1.04199726</v>
      </c>
    </row>
    <row r="703" spans="1:3">
      <c r="A703" s="531">
        <v>44209</v>
      </c>
      <c r="B703" s="532">
        <v>8.0000000000000004E-4</v>
      </c>
      <c r="C703" s="640">
        <v>1.04199957</v>
      </c>
    </row>
    <row r="704" spans="1:3">
      <c r="A704" s="531">
        <v>44210</v>
      </c>
      <c r="B704" s="532">
        <v>8.0000000000000004E-4</v>
      </c>
      <c r="C704" s="640">
        <v>1.0420018900000001</v>
      </c>
    </row>
    <row r="705" spans="1:3">
      <c r="A705" s="531">
        <v>44211</v>
      </c>
      <c r="B705" s="532">
        <v>8.0000000000000004E-4</v>
      </c>
      <c r="C705" s="640">
        <v>1.0420042</v>
      </c>
    </row>
    <row r="706" spans="1:3">
      <c r="A706" s="531">
        <v>44215</v>
      </c>
      <c r="B706" s="532">
        <v>7.000000000000001E-4</v>
      </c>
      <c r="C706" s="640">
        <v>1.0420134700000001</v>
      </c>
    </row>
    <row r="707" spans="1:3">
      <c r="A707" s="531">
        <v>44216</v>
      </c>
      <c r="B707" s="532">
        <v>5.9999999999999995E-4</v>
      </c>
      <c r="C707" s="640">
        <v>1.04201549</v>
      </c>
    </row>
    <row r="708" spans="1:3">
      <c r="A708" s="531">
        <v>44217</v>
      </c>
      <c r="B708" s="532">
        <v>4.0000000000000002E-4</v>
      </c>
      <c r="C708" s="640">
        <v>1.0420172299999999</v>
      </c>
    </row>
    <row r="709" spans="1:3">
      <c r="A709" s="531">
        <v>44218</v>
      </c>
      <c r="B709" s="532">
        <v>5.0000000000000001E-4</v>
      </c>
      <c r="C709" s="640">
        <v>1.04201839</v>
      </c>
    </row>
    <row r="710" spans="1:3">
      <c r="A710" s="531">
        <v>44221</v>
      </c>
      <c r="B710" s="532">
        <v>5.9999999999999995E-4</v>
      </c>
      <c r="C710" s="640">
        <v>1.04202273</v>
      </c>
    </row>
    <row r="711" spans="1:3">
      <c r="A711" s="531">
        <v>44222</v>
      </c>
      <c r="B711" s="532">
        <v>2.9999999999999997E-4</v>
      </c>
      <c r="C711" s="640">
        <v>1.0420244700000001</v>
      </c>
    </row>
    <row r="712" spans="1:3">
      <c r="A712" s="531">
        <v>44223</v>
      </c>
      <c r="B712" s="532">
        <v>2.9999999999999997E-4</v>
      </c>
      <c r="C712" s="640">
        <v>1.04202533</v>
      </c>
    </row>
    <row r="713" spans="1:3">
      <c r="A713" s="531">
        <v>44224</v>
      </c>
      <c r="B713" s="532">
        <v>4.0000000000000002E-4</v>
      </c>
      <c r="C713" s="640">
        <v>1.0420262</v>
      </c>
    </row>
    <row r="714" spans="1:3">
      <c r="A714" s="531">
        <v>44225</v>
      </c>
      <c r="B714" s="532">
        <v>5.9999999999999995E-4</v>
      </c>
      <c r="C714" s="640">
        <v>1.0420273600000001</v>
      </c>
    </row>
    <row r="715" spans="1:3">
      <c r="A715" s="531">
        <v>44228</v>
      </c>
      <c r="B715" s="532">
        <v>7.000000000000001E-4</v>
      </c>
      <c r="C715" s="640">
        <v>1.0420325699999999</v>
      </c>
    </row>
    <row r="716" spans="1:3">
      <c r="A716" s="531">
        <v>44229</v>
      </c>
      <c r="B716" s="532">
        <v>7.000000000000001E-4</v>
      </c>
      <c r="C716" s="640">
        <v>1.0420346</v>
      </c>
    </row>
    <row r="717" spans="1:3">
      <c r="A717" s="531">
        <v>44230</v>
      </c>
      <c r="B717" s="532">
        <v>7.000000000000001E-4</v>
      </c>
      <c r="C717" s="640">
        <v>1.04203662</v>
      </c>
    </row>
    <row r="718" spans="1:3">
      <c r="A718" s="531">
        <v>44231</v>
      </c>
      <c r="B718" s="532">
        <v>5.0000000000000001E-4</v>
      </c>
      <c r="C718" s="640">
        <v>1.0420386500000001</v>
      </c>
    </row>
    <row r="719" spans="1:3">
      <c r="A719" s="531">
        <v>44232</v>
      </c>
      <c r="B719" s="532">
        <v>2.0000000000000001E-4</v>
      </c>
      <c r="C719" s="640">
        <v>1.0420400999999999</v>
      </c>
    </row>
    <row r="720" spans="1:3">
      <c r="A720" s="531">
        <v>44235</v>
      </c>
      <c r="B720" s="532">
        <v>2.0000000000000001E-4</v>
      </c>
      <c r="C720" s="640">
        <v>1.0420418300000001</v>
      </c>
    </row>
    <row r="721" spans="1:3">
      <c r="A721" s="531">
        <v>44236</v>
      </c>
      <c r="B721" s="532">
        <v>5.0000000000000001E-4</v>
      </c>
      <c r="C721" s="640">
        <v>1.0420424100000001</v>
      </c>
    </row>
    <row r="722" spans="1:3">
      <c r="A722" s="531">
        <v>44237</v>
      </c>
      <c r="B722" s="532">
        <v>5.9999999999999995E-4</v>
      </c>
      <c r="C722" s="640">
        <v>1.0420438599999999</v>
      </c>
    </row>
    <row r="723" spans="1:3">
      <c r="A723" s="531">
        <v>44238</v>
      </c>
      <c r="B723" s="532">
        <v>5.9999999999999995E-4</v>
      </c>
      <c r="C723" s="640">
        <v>1.0420456</v>
      </c>
    </row>
    <row r="724" spans="1:3">
      <c r="A724" s="531">
        <v>44239</v>
      </c>
      <c r="B724" s="532">
        <v>5.0000000000000001E-4</v>
      </c>
      <c r="C724" s="640">
        <v>1.0420473299999999</v>
      </c>
    </row>
    <row r="725" spans="1:3">
      <c r="A725" s="531">
        <v>44243</v>
      </c>
      <c r="B725" s="532">
        <v>5.9999999999999995E-4</v>
      </c>
      <c r="C725" s="640">
        <v>1.0420531200000001</v>
      </c>
    </row>
    <row r="726" spans="1:3">
      <c r="A726" s="531">
        <v>44244</v>
      </c>
      <c r="B726" s="532">
        <v>5.9999999999999995E-4</v>
      </c>
      <c r="C726" s="640">
        <v>1.0420548599999999</v>
      </c>
    </row>
    <row r="727" spans="1:3">
      <c r="A727" s="531">
        <v>44245</v>
      </c>
      <c r="B727" s="532">
        <v>2.9999999999999997E-4</v>
      </c>
      <c r="C727" s="640">
        <v>1.0420566</v>
      </c>
    </row>
    <row r="728" spans="1:3">
      <c r="A728" s="531">
        <v>44246</v>
      </c>
      <c r="B728" s="532">
        <v>2.0000000000000001E-4</v>
      </c>
      <c r="C728" s="640">
        <v>1.0420574600000001</v>
      </c>
    </row>
    <row r="729" spans="1:3">
      <c r="A729" s="531">
        <v>44249</v>
      </c>
      <c r="B729" s="532">
        <v>2.9999999999999997E-4</v>
      </c>
      <c r="C729" s="640">
        <v>1.0420592</v>
      </c>
    </row>
    <row r="730" spans="1:3">
      <c r="A730" s="531">
        <v>44250</v>
      </c>
      <c r="B730" s="532">
        <v>1E-4</v>
      </c>
      <c r="C730" s="640">
        <v>1.04206007</v>
      </c>
    </row>
    <row r="731" spans="1:3">
      <c r="A731" s="531">
        <v>44251</v>
      </c>
      <c r="B731" s="532">
        <v>2.0000000000000001E-4</v>
      </c>
      <c r="C731" s="640">
        <v>1.04206036</v>
      </c>
    </row>
    <row r="732" spans="1:3">
      <c r="A732" s="531">
        <v>44252</v>
      </c>
      <c r="B732" s="532">
        <v>2.9999999999999997E-4</v>
      </c>
      <c r="C732" s="640">
        <v>1.04206094</v>
      </c>
    </row>
    <row r="733" spans="1:3">
      <c r="A733" s="531">
        <v>44253</v>
      </c>
      <c r="B733" s="532">
        <v>1E-4</v>
      </c>
      <c r="C733" s="640">
        <v>1.0420618100000001</v>
      </c>
    </row>
    <row r="734" spans="1:3">
      <c r="A734" s="531">
        <v>44256</v>
      </c>
      <c r="B734" s="532">
        <v>2.0000000000000001E-4</v>
      </c>
      <c r="C734" s="640">
        <v>1.04206267</v>
      </c>
    </row>
    <row r="735" spans="1:3">
      <c r="A735" s="531">
        <v>44257</v>
      </c>
      <c r="B735" s="532">
        <v>4.0000000000000002E-4</v>
      </c>
      <c r="C735" s="640">
        <v>1.04206325</v>
      </c>
    </row>
    <row r="736" spans="1:3">
      <c r="A736" s="531">
        <v>44258</v>
      </c>
      <c r="B736" s="532">
        <v>4.0000000000000002E-4</v>
      </c>
      <c r="C736" s="640">
        <v>1.0420644100000001</v>
      </c>
    </row>
    <row r="737" spans="1:3">
      <c r="A737" s="531">
        <v>44259</v>
      </c>
      <c r="B737" s="532">
        <v>2.0000000000000001E-4</v>
      </c>
      <c r="C737" s="640">
        <v>1.0420655700000001</v>
      </c>
    </row>
    <row r="738" spans="1:3">
      <c r="A738" s="531">
        <v>44260</v>
      </c>
      <c r="B738" s="532">
        <v>2.0000000000000001E-4</v>
      </c>
      <c r="C738" s="640">
        <v>1.0420661499999999</v>
      </c>
    </row>
    <row r="739" spans="1:3">
      <c r="A739" s="531">
        <v>44263</v>
      </c>
      <c r="B739" s="532">
        <v>2.0000000000000001E-4</v>
      </c>
      <c r="C739" s="640">
        <v>1.0420678800000001</v>
      </c>
    </row>
    <row r="740" spans="1:3">
      <c r="A740" s="531">
        <v>44264</v>
      </c>
      <c r="B740" s="532">
        <v>2.0000000000000001E-4</v>
      </c>
      <c r="C740" s="640">
        <v>1.0420684600000001</v>
      </c>
    </row>
    <row r="741" spans="1:3">
      <c r="A741" s="531">
        <v>44265</v>
      </c>
      <c r="B741" s="532">
        <v>2.0000000000000001E-4</v>
      </c>
      <c r="C741" s="640">
        <v>1.0420690399999999</v>
      </c>
    </row>
    <row r="742" spans="1:3">
      <c r="A742" s="531">
        <v>44266</v>
      </c>
      <c r="B742" s="532">
        <v>1E-4</v>
      </c>
      <c r="C742" s="640">
        <v>1.0420696199999999</v>
      </c>
    </row>
    <row r="743" spans="1:3">
      <c r="A743" s="531">
        <v>44267</v>
      </c>
      <c r="B743" s="532">
        <v>1E-4</v>
      </c>
      <c r="C743" s="640">
        <v>1.0420699099999999</v>
      </c>
    </row>
    <row r="744" spans="1:3">
      <c r="A744" s="531">
        <v>44270</v>
      </c>
      <c r="B744" s="532">
        <v>1E-4</v>
      </c>
      <c r="C744" s="640">
        <v>1.04207078</v>
      </c>
    </row>
    <row r="745" spans="1:3">
      <c r="A745" s="531">
        <v>44271</v>
      </c>
      <c r="B745" s="532">
        <v>1E-4</v>
      </c>
      <c r="C745" s="640">
        <v>1.04207107</v>
      </c>
    </row>
    <row r="746" spans="1:3">
      <c r="A746" s="531">
        <v>44272</v>
      </c>
      <c r="B746" s="532">
        <v>1E-4</v>
      </c>
      <c r="C746" s="640">
        <v>1.04207136</v>
      </c>
    </row>
    <row r="747" spans="1:3">
      <c r="A747" s="531">
        <v>44273</v>
      </c>
      <c r="B747" s="532">
        <v>1E-4</v>
      </c>
      <c r="C747" s="640">
        <v>1.04207165</v>
      </c>
    </row>
    <row r="748" spans="1:3">
      <c r="A748" s="531">
        <v>44274</v>
      </c>
      <c r="B748" s="532">
        <v>1E-4</v>
      </c>
      <c r="C748" s="640">
        <v>1.04207194</v>
      </c>
    </row>
    <row r="749" spans="1:3">
      <c r="A749" s="531">
        <v>44277</v>
      </c>
      <c r="B749" s="532">
        <v>1E-4</v>
      </c>
      <c r="C749" s="640">
        <v>1.0420728100000001</v>
      </c>
    </row>
    <row r="750" spans="1:3">
      <c r="A750" s="531">
        <v>44278</v>
      </c>
      <c r="B750" s="532">
        <v>1E-4</v>
      </c>
      <c r="C750" s="640">
        <v>1.0420730899999999</v>
      </c>
    </row>
    <row r="751" spans="1:3">
      <c r="A751" s="531">
        <v>44279</v>
      </c>
      <c r="B751" s="532">
        <v>1E-4</v>
      </c>
      <c r="C751" s="640">
        <v>1.0420733799999999</v>
      </c>
    </row>
    <row r="752" spans="1:3">
      <c r="A752" s="531">
        <v>44280</v>
      </c>
      <c r="B752" s="532">
        <v>1E-4</v>
      </c>
      <c r="C752" s="640">
        <v>1.04207367</v>
      </c>
    </row>
    <row r="753" spans="1:3">
      <c r="A753" s="531">
        <v>44281</v>
      </c>
      <c r="B753" s="532">
        <v>1E-4</v>
      </c>
      <c r="C753" s="640">
        <v>1.04207396</v>
      </c>
    </row>
    <row r="754" spans="1:3">
      <c r="A754" s="531">
        <v>44284</v>
      </c>
      <c r="B754" s="532">
        <v>1E-4</v>
      </c>
      <c r="C754" s="640">
        <v>1.04207483</v>
      </c>
    </row>
    <row r="755" spans="1:3">
      <c r="A755" s="531">
        <v>44285</v>
      </c>
      <c r="B755" s="532">
        <v>1E-4</v>
      </c>
      <c r="C755" s="640">
        <v>1.04207512</v>
      </c>
    </row>
    <row r="756" spans="1:3">
      <c r="A756" s="531">
        <v>44286</v>
      </c>
      <c r="B756" s="532">
        <v>1E-4</v>
      </c>
      <c r="C756" s="640">
        <v>1.04207541</v>
      </c>
    </row>
    <row r="757" spans="1:3">
      <c r="A757" s="531">
        <v>44287</v>
      </c>
      <c r="B757" s="532">
        <v>1E-4</v>
      </c>
      <c r="C757" s="640">
        <v>1.0420757</v>
      </c>
    </row>
    <row r="758" spans="1:3">
      <c r="A758" s="531">
        <v>44291</v>
      </c>
      <c r="B758" s="532">
        <v>1E-4</v>
      </c>
      <c r="C758" s="640">
        <v>1.0420768600000001</v>
      </c>
    </row>
    <row r="759" spans="1:3">
      <c r="A759" s="531">
        <v>44292</v>
      </c>
      <c r="B759" s="532">
        <v>1E-4</v>
      </c>
      <c r="C759" s="640">
        <v>1.0420771499999999</v>
      </c>
    </row>
    <row r="760" spans="1:3">
      <c r="A760" s="531">
        <v>44293</v>
      </c>
      <c r="B760" s="532">
        <v>1E-4</v>
      </c>
      <c r="C760" s="640">
        <v>1.0420774399999999</v>
      </c>
    </row>
    <row r="761" spans="1:3">
      <c r="A761" s="531">
        <v>44294</v>
      </c>
      <c r="B761" s="532">
        <v>1E-4</v>
      </c>
      <c r="C761" s="640">
        <v>1.0420777299999999</v>
      </c>
    </row>
    <row r="762" spans="1:3">
      <c r="A762" s="531">
        <v>44295</v>
      </c>
      <c r="B762" s="532">
        <v>1E-4</v>
      </c>
      <c r="C762" s="640">
        <v>1.0420780199999999</v>
      </c>
    </row>
    <row r="763" spans="1:3">
      <c r="A763" s="531">
        <v>44298</v>
      </c>
      <c r="B763" s="532">
        <v>1E-4</v>
      </c>
      <c r="C763" s="640">
        <v>1.04207888</v>
      </c>
    </row>
    <row r="764" spans="1:3">
      <c r="A764" s="531">
        <v>44299</v>
      </c>
      <c r="B764" s="532">
        <v>1E-4</v>
      </c>
      <c r="C764" s="640">
        <v>1.0420791700000001</v>
      </c>
    </row>
    <row r="765" spans="1:3">
      <c r="A765" s="531">
        <v>44300</v>
      </c>
      <c r="B765" s="532">
        <v>1E-4</v>
      </c>
      <c r="C765" s="640">
        <v>1.0420794600000001</v>
      </c>
    </row>
    <row r="766" spans="1:3">
      <c r="A766" s="531">
        <v>44301</v>
      </c>
      <c r="B766" s="532">
        <v>1E-4</v>
      </c>
      <c r="C766" s="640">
        <v>1.0420797500000001</v>
      </c>
    </row>
    <row r="767" spans="1:3">
      <c r="A767" s="531">
        <v>44302</v>
      </c>
      <c r="B767" s="532">
        <v>1E-4</v>
      </c>
      <c r="C767" s="640">
        <v>1.0420800400000001</v>
      </c>
    </row>
    <row r="768" spans="1:3">
      <c r="A768" s="531">
        <v>44305</v>
      </c>
      <c r="B768" s="532">
        <v>1E-4</v>
      </c>
      <c r="C768" s="640">
        <v>1.0420809099999999</v>
      </c>
    </row>
    <row r="769" spans="1:3">
      <c r="A769" s="531">
        <v>44306</v>
      </c>
      <c r="B769" s="532">
        <v>1E-4</v>
      </c>
      <c r="C769" s="640">
        <v>1.0420811999999999</v>
      </c>
    </row>
    <row r="770" spans="1:3">
      <c r="A770" s="531">
        <v>44307</v>
      </c>
      <c r="B770" s="532">
        <v>1E-4</v>
      </c>
      <c r="C770" s="640">
        <v>1.0420814899999999</v>
      </c>
    </row>
    <row r="771" spans="1:3">
      <c r="A771" s="531">
        <v>44308</v>
      </c>
      <c r="B771" s="532">
        <v>1E-4</v>
      </c>
      <c r="C771" s="640">
        <v>1.04208178</v>
      </c>
    </row>
    <row r="772" spans="1:3">
      <c r="A772" s="531">
        <v>44309</v>
      </c>
      <c r="B772" s="532">
        <v>1E-4</v>
      </c>
      <c r="C772" s="640">
        <v>1.04208207</v>
      </c>
    </row>
    <row r="773" spans="1:3">
      <c r="A773" s="531">
        <v>44312</v>
      </c>
      <c r="B773" s="532">
        <v>1E-4</v>
      </c>
      <c r="C773" s="640">
        <v>1.04208294</v>
      </c>
    </row>
    <row r="774" spans="1:3">
      <c r="A774" s="531">
        <v>44313</v>
      </c>
      <c r="B774" s="532">
        <v>1E-4</v>
      </c>
      <c r="C774" s="640">
        <v>1.04208323</v>
      </c>
    </row>
    <row r="775" spans="1:3">
      <c r="A775" s="531">
        <v>44314</v>
      </c>
      <c r="B775" s="532">
        <v>1E-4</v>
      </c>
      <c r="C775" s="640">
        <v>1.04208352</v>
      </c>
    </row>
    <row r="776" spans="1:3">
      <c r="A776" s="531">
        <v>44315</v>
      </c>
      <c r="B776" s="532">
        <v>1E-4</v>
      </c>
      <c r="C776" s="640">
        <v>1.0420838100000001</v>
      </c>
    </row>
    <row r="777" spans="1:3">
      <c r="A777" s="531">
        <v>44316</v>
      </c>
      <c r="B777" s="532">
        <v>1E-4</v>
      </c>
      <c r="C777" s="640">
        <v>1.0420840899999999</v>
      </c>
    </row>
    <row r="778" spans="1:3">
      <c r="A778" s="531">
        <v>44319</v>
      </c>
      <c r="B778" s="532">
        <v>1E-4</v>
      </c>
      <c r="C778" s="640">
        <v>1.0420849599999999</v>
      </c>
    </row>
    <row r="779" spans="1:3">
      <c r="A779" s="531">
        <v>44320</v>
      </c>
      <c r="B779" s="532">
        <v>1E-4</v>
      </c>
      <c r="C779" s="640">
        <v>1.04208525</v>
      </c>
    </row>
    <row r="780" spans="1:3">
      <c r="A780" s="531">
        <v>44321</v>
      </c>
      <c r="B780" s="532">
        <v>1E-4</v>
      </c>
      <c r="C780" s="640">
        <v>1.04208554</v>
      </c>
    </row>
    <row r="781" spans="1:3">
      <c r="A781" s="531">
        <v>44322</v>
      </c>
      <c r="B781" s="532">
        <v>1E-4</v>
      </c>
      <c r="C781" s="640">
        <v>1.04208583</v>
      </c>
    </row>
    <row r="782" spans="1:3">
      <c r="A782" s="531">
        <v>44323</v>
      </c>
      <c r="B782" s="532">
        <v>1E-4</v>
      </c>
      <c r="C782" s="640">
        <v>1.04208612</v>
      </c>
    </row>
    <row r="783" spans="1:3">
      <c r="A783" s="531">
        <v>44326</v>
      </c>
      <c r="B783" s="532">
        <v>1E-4</v>
      </c>
      <c r="C783" s="640">
        <v>1.04208699</v>
      </c>
    </row>
    <row r="784" spans="1:3">
      <c r="A784" s="531">
        <v>44327</v>
      </c>
      <c r="B784" s="532">
        <v>1E-4</v>
      </c>
      <c r="C784" s="640">
        <v>1.0420872800000001</v>
      </c>
    </row>
    <row r="785" spans="1:3">
      <c r="A785" s="531">
        <v>44328</v>
      </c>
      <c r="B785" s="532">
        <v>1E-4</v>
      </c>
      <c r="C785" s="640">
        <v>1.0420875700000001</v>
      </c>
    </row>
    <row r="786" spans="1:3">
      <c r="A786" s="531">
        <v>44329</v>
      </c>
      <c r="B786" s="532">
        <v>1E-4</v>
      </c>
      <c r="C786" s="640">
        <v>1.0420878600000001</v>
      </c>
    </row>
    <row r="787" spans="1:3">
      <c r="A787" s="531">
        <v>44330</v>
      </c>
      <c r="B787" s="532">
        <v>1E-4</v>
      </c>
      <c r="C787" s="640">
        <v>1.0420881500000001</v>
      </c>
    </row>
    <row r="788" spans="1:3">
      <c r="A788" s="531">
        <v>44333</v>
      </c>
      <c r="B788" s="532">
        <v>1E-4</v>
      </c>
      <c r="C788" s="640">
        <v>1.0420890199999999</v>
      </c>
    </row>
    <row r="789" spans="1:3">
      <c r="A789" s="531">
        <v>44334</v>
      </c>
      <c r="B789" s="532">
        <v>1E-4</v>
      </c>
      <c r="C789" s="640">
        <v>1.0420893099999999</v>
      </c>
    </row>
    <row r="790" spans="1:3">
      <c r="A790" s="531">
        <v>44335</v>
      </c>
      <c r="B790" s="532">
        <v>1E-4</v>
      </c>
      <c r="C790" s="640">
        <v>1.04208959</v>
      </c>
    </row>
    <row r="791" spans="1:3">
      <c r="A791" s="531">
        <v>44336</v>
      </c>
      <c r="B791" s="532">
        <v>1E-4</v>
      </c>
      <c r="C791" s="640">
        <v>1.04208988</v>
      </c>
    </row>
    <row r="792" spans="1:3">
      <c r="A792" s="531">
        <v>44337</v>
      </c>
      <c r="B792" s="532">
        <v>1E-4</v>
      </c>
      <c r="C792" s="640">
        <v>1.04209017</v>
      </c>
    </row>
    <row r="793" spans="1:3">
      <c r="A793" s="531">
        <v>44340</v>
      </c>
      <c r="B793" s="532">
        <v>1E-4</v>
      </c>
      <c r="C793" s="640">
        <v>1.0420910400000001</v>
      </c>
    </row>
    <row r="794" spans="1:3">
      <c r="A794" s="531">
        <v>44341</v>
      </c>
      <c r="B794" s="532">
        <v>1E-4</v>
      </c>
      <c r="C794" s="640">
        <v>1.0420913300000001</v>
      </c>
    </row>
    <row r="795" spans="1:3">
      <c r="A795" s="531">
        <v>44342</v>
      </c>
      <c r="B795" s="532">
        <v>1E-4</v>
      </c>
      <c r="C795" s="640">
        <v>1.0420916200000001</v>
      </c>
    </row>
    <row r="796" spans="1:3">
      <c r="A796" s="531">
        <v>44343</v>
      </c>
      <c r="B796" s="532">
        <v>1E-4</v>
      </c>
      <c r="C796" s="640">
        <v>1.0420919099999999</v>
      </c>
    </row>
    <row r="797" spans="1:3">
      <c r="A797" s="531">
        <v>44344</v>
      </c>
      <c r="B797" s="532">
        <v>1E-4</v>
      </c>
      <c r="C797" s="640">
        <v>1.0420921999999999</v>
      </c>
    </row>
    <row r="798" spans="1:3">
      <c r="A798" s="531">
        <v>44348</v>
      </c>
      <c r="B798" s="532">
        <v>1E-4</v>
      </c>
      <c r="C798" s="640">
        <v>1.04209336</v>
      </c>
    </row>
    <row r="799" spans="1:3">
      <c r="A799" s="531">
        <v>44349</v>
      </c>
      <c r="B799" s="532">
        <v>1E-4</v>
      </c>
      <c r="C799" s="640">
        <v>1.04209365</v>
      </c>
    </row>
    <row r="800" spans="1:3">
      <c r="A800" s="531">
        <v>44350</v>
      </c>
      <c r="B800" s="532">
        <v>1E-4</v>
      </c>
      <c r="C800" s="640">
        <v>1.04209394</v>
      </c>
    </row>
    <row r="801" spans="1:3">
      <c r="A801" s="531">
        <v>44351</v>
      </c>
      <c r="B801" s="532">
        <v>1E-4</v>
      </c>
      <c r="C801" s="640">
        <v>1.04209423</v>
      </c>
    </row>
    <row r="802" spans="1:3">
      <c r="A802" s="531">
        <v>44354</v>
      </c>
      <c r="B802" s="532">
        <v>1E-4</v>
      </c>
      <c r="C802" s="640">
        <v>1.0420950899999999</v>
      </c>
    </row>
    <row r="803" spans="1:3">
      <c r="A803" s="531">
        <v>44355</v>
      </c>
      <c r="B803" s="532">
        <v>1E-4</v>
      </c>
      <c r="C803" s="640">
        <v>1.0420953799999999</v>
      </c>
    </row>
    <row r="804" spans="1:3">
      <c r="A804" s="531">
        <v>44356</v>
      </c>
      <c r="B804" s="532">
        <v>1E-4</v>
      </c>
      <c r="C804" s="640">
        <v>1.0420956699999999</v>
      </c>
    </row>
    <row r="805" spans="1:3">
      <c r="A805" s="531">
        <v>44357</v>
      </c>
      <c r="B805" s="532">
        <v>1E-4</v>
      </c>
      <c r="C805" s="640">
        <v>1.0420959599999999</v>
      </c>
    </row>
    <row r="806" spans="1:3">
      <c r="A806" s="531">
        <v>44358</v>
      </c>
      <c r="B806" s="532">
        <v>1E-4</v>
      </c>
      <c r="C806" s="640">
        <v>1.0420962499999999</v>
      </c>
    </row>
    <row r="807" spans="1:3">
      <c r="A807" s="531">
        <v>44361</v>
      </c>
      <c r="B807" s="532">
        <v>1E-4</v>
      </c>
      <c r="C807" s="640">
        <v>1.04209712</v>
      </c>
    </row>
    <row r="808" spans="1:3">
      <c r="A808" s="531">
        <v>44362</v>
      </c>
      <c r="B808" s="532">
        <v>1E-4</v>
      </c>
      <c r="C808" s="640">
        <v>1.04209741</v>
      </c>
    </row>
    <row r="809" spans="1:3">
      <c r="A809" s="531">
        <v>44363</v>
      </c>
      <c r="B809" s="532">
        <v>1E-4</v>
      </c>
      <c r="C809" s="640">
        <v>1.0420977</v>
      </c>
    </row>
    <row r="810" spans="1:3">
      <c r="A810" s="531">
        <v>44364</v>
      </c>
      <c r="B810" s="532">
        <v>5.0000000000000001E-4</v>
      </c>
      <c r="C810" s="640">
        <v>1.04209799</v>
      </c>
    </row>
    <row r="811" spans="1:3">
      <c r="A811" s="531">
        <v>44365</v>
      </c>
      <c r="B811" s="532">
        <v>5.0000000000000001E-4</v>
      </c>
      <c r="C811" s="640">
        <v>1.0420994400000001</v>
      </c>
    </row>
    <row r="812" spans="1:3">
      <c r="A812" s="531">
        <v>44368</v>
      </c>
      <c r="B812" s="532">
        <v>5.0000000000000001E-4</v>
      </c>
      <c r="C812" s="640">
        <v>1.0421037799999999</v>
      </c>
    </row>
    <row r="813" spans="1:3">
      <c r="A813" s="531">
        <v>44369</v>
      </c>
      <c r="B813" s="532">
        <v>5.0000000000000001E-4</v>
      </c>
      <c r="C813" s="640">
        <v>1.04210523</v>
      </c>
    </row>
    <row r="814" spans="1:3">
      <c r="A814" s="531">
        <v>44370</v>
      </c>
      <c r="B814" s="532">
        <v>5.0000000000000001E-4</v>
      </c>
      <c r="C814" s="640">
        <v>1.0421066699999999</v>
      </c>
    </row>
    <row r="815" spans="1:3">
      <c r="A815" s="531">
        <v>44371</v>
      </c>
      <c r="B815" s="532">
        <v>5.0000000000000001E-4</v>
      </c>
      <c r="C815" s="640">
        <v>1.04210812</v>
      </c>
    </row>
    <row r="816" spans="1:3">
      <c r="A816" s="531">
        <v>44372</v>
      </c>
      <c r="B816" s="532">
        <v>5.0000000000000001E-4</v>
      </c>
      <c r="C816" s="640">
        <v>1.04210957</v>
      </c>
    </row>
    <row r="817" spans="1:3">
      <c r="A817" s="531">
        <v>44375</v>
      </c>
      <c r="B817" s="532">
        <v>5.0000000000000001E-4</v>
      </c>
      <c r="C817" s="640">
        <v>1.0421139100000001</v>
      </c>
    </row>
    <row r="818" spans="1:3">
      <c r="A818" s="531">
        <v>44376</v>
      </c>
      <c r="B818" s="532">
        <v>5.0000000000000001E-4</v>
      </c>
      <c r="C818" s="640">
        <v>1.0421153599999999</v>
      </c>
    </row>
    <row r="819" spans="1:3">
      <c r="A819" s="531">
        <v>44377</v>
      </c>
      <c r="B819" s="532">
        <v>5.0000000000000001E-4</v>
      </c>
      <c r="C819" s="640">
        <v>1.0421168000000001</v>
      </c>
    </row>
    <row r="820" spans="1:3">
      <c r="A820" s="531">
        <v>44378</v>
      </c>
      <c r="B820" s="532">
        <v>5.0000000000000001E-4</v>
      </c>
      <c r="C820" s="640">
        <v>1.0421182499999999</v>
      </c>
    </row>
    <row r="821" spans="1:3">
      <c r="A821" s="531">
        <v>44379</v>
      </c>
      <c r="B821" s="532">
        <v>5.0000000000000001E-4</v>
      </c>
      <c r="C821" s="640">
        <v>1.0421197</v>
      </c>
    </row>
    <row r="822" spans="1:3">
      <c r="A822" s="531">
        <v>44383</v>
      </c>
      <c r="B822" s="532">
        <v>5.0000000000000001E-4</v>
      </c>
      <c r="C822" s="640">
        <v>1.0421254900000001</v>
      </c>
    </row>
    <row r="823" spans="1:3">
      <c r="A823" s="531">
        <v>44384</v>
      </c>
      <c r="B823" s="532">
        <v>5.0000000000000001E-4</v>
      </c>
      <c r="C823" s="640">
        <v>1.0421269399999999</v>
      </c>
    </row>
    <row r="824" spans="1:3">
      <c r="A824" s="531">
        <v>44385</v>
      </c>
      <c r="B824" s="532">
        <v>5.0000000000000001E-4</v>
      </c>
      <c r="C824" s="640">
        <v>1.0421283800000001</v>
      </c>
    </row>
    <row r="825" spans="1:3">
      <c r="A825" s="531">
        <v>44386</v>
      </c>
      <c r="B825" s="532">
        <v>5.0000000000000001E-4</v>
      </c>
      <c r="C825" s="640">
        <v>1.0421298299999999</v>
      </c>
    </row>
    <row r="826" spans="1:3">
      <c r="A826" s="531">
        <v>44389</v>
      </c>
      <c r="B826" s="532">
        <v>5.0000000000000001E-4</v>
      </c>
      <c r="C826" s="640">
        <v>1.04213417</v>
      </c>
    </row>
    <row r="827" spans="1:3">
      <c r="A827" s="531">
        <v>44390</v>
      </c>
      <c r="B827" s="532">
        <v>5.0000000000000001E-4</v>
      </c>
      <c r="C827" s="640">
        <v>1.04213562</v>
      </c>
    </row>
    <row r="828" spans="1:3">
      <c r="A828" s="531">
        <v>44391</v>
      </c>
      <c r="B828" s="532">
        <v>5.0000000000000001E-4</v>
      </c>
      <c r="C828" s="640">
        <v>1.0421370700000001</v>
      </c>
    </row>
    <row r="829" spans="1:3">
      <c r="A829" s="531">
        <v>44392</v>
      </c>
      <c r="B829" s="532">
        <v>5.0000000000000001E-4</v>
      </c>
      <c r="C829" s="640">
        <v>1.04213852</v>
      </c>
    </row>
    <row r="830" spans="1:3">
      <c r="A830" s="531">
        <v>44393</v>
      </c>
      <c r="B830" s="532">
        <v>5.0000000000000001E-4</v>
      </c>
      <c r="C830" s="640">
        <v>1.0421399600000001</v>
      </c>
    </row>
    <row r="831" spans="1:3">
      <c r="A831" s="531">
        <v>44396</v>
      </c>
      <c r="B831" s="532">
        <v>5.0000000000000001E-4</v>
      </c>
      <c r="C831" s="640">
        <v>1.0421443100000001</v>
      </c>
    </row>
    <row r="832" spans="1:3">
      <c r="A832" s="531">
        <v>44397</v>
      </c>
      <c r="B832" s="532">
        <v>5.0000000000000001E-4</v>
      </c>
      <c r="C832" s="640">
        <v>1.04214575</v>
      </c>
    </row>
    <row r="833" spans="1:3">
      <c r="A833" s="531">
        <v>44398</v>
      </c>
      <c r="B833" s="532">
        <v>5.0000000000000001E-4</v>
      </c>
      <c r="C833" s="640">
        <v>1.0421472000000001</v>
      </c>
    </row>
    <row r="834" spans="1:3">
      <c r="A834" s="531">
        <v>44399</v>
      </c>
      <c r="B834" s="532">
        <v>5.0000000000000001E-4</v>
      </c>
      <c r="C834" s="640">
        <v>1.0421486499999999</v>
      </c>
    </row>
    <row r="835" spans="1:3">
      <c r="A835" s="531">
        <v>44400</v>
      </c>
      <c r="B835" s="532">
        <v>5.0000000000000001E-4</v>
      </c>
      <c r="C835" s="640">
        <v>1.0421501</v>
      </c>
    </row>
    <row r="836" spans="1:3">
      <c r="A836" s="531">
        <v>44403</v>
      </c>
      <c r="B836" s="532">
        <v>5.0000000000000001E-4</v>
      </c>
      <c r="C836" s="640">
        <v>1.04215444</v>
      </c>
    </row>
    <row r="837" spans="1:3">
      <c r="A837" s="531">
        <v>44404</v>
      </c>
      <c r="B837" s="532">
        <v>5.0000000000000001E-4</v>
      </c>
      <c r="C837" s="640">
        <v>1.0421558900000001</v>
      </c>
    </row>
    <row r="838" spans="1:3">
      <c r="A838" s="531">
        <v>44405</v>
      </c>
      <c r="B838" s="532">
        <v>5.0000000000000001E-4</v>
      </c>
      <c r="C838" s="640">
        <v>1.04215733</v>
      </c>
    </row>
    <row r="839" spans="1:3">
      <c r="A839" s="531">
        <v>44406</v>
      </c>
      <c r="B839" s="532">
        <v>5.0000000000000001E-4</v>
      </c>
      <c r="C839" s="640">
        <v>1.0421587800000001</v>
      </c>
    </row>
    <row r="840" spans="1:3">
      <c r="A840" s="531">
        <v>44407</v>
      </c>
      <c r="B840" s="532">
        <v>5.0000000000000001E-4</v>
      </c>
      <c r="C840" s="640">
        <v>1.0421602299999999</v>
      </c>
    </row>
    <row r="841" spans="1:3">
      <c r="A841" s="531">
        <v>44410</v>
      </c>
      <c r="B841" s="532">
        <v>5.0000000000000001E-4</v>
      </c>
      <c r="C841" s="640">
        <v>1.04216457</v>
      </c>
    </row>
    <row r="842" spans="1:3">
      <c r="A842" s="531">
        <v>44411</v>
      </c>
      <c r="B842" s="532">
        <v>5.0000000000000001E-4</v>
      </c>
      <c r="C842" s="640">
        <v>1.04216602</v>
      </c>
    </row>
    <row r="843" spans="1:3">
      <c r="A843" s="531">
        <v>44412</v>
      </c>
      <c r="B843" s="532">
        <v>5.0000000000000001E-4</v>
      </c>
      <c r="C843" s="640">
        <v>1.0421674599999999</v>
      </c>
    </row>
    <row r="844" spans="1:3">
      <c r="A844" s="531">
        <v>44413</v>
      </c>
      <c r="B844" s="532">
        <v>5.0000000000000001E-4</v>
      </c>
      <c r="C844" s="640">
        <v>1.04216891</v>
      </c>
    </row>
    <row r="845" spans="1:3">
      <c r="A845" s="531">
        <v>44414</v>
      </c>
      <c r="B845" s="532">
        <v>5.0000000000000001E-4</v>
      </c>
      <c r="C845" s="640">
        <v>1.0421703600000001</v>
      </c>
    </row>
    <row r="846" spans="1:3">
      <c r="A846" s="531">
        <v>44417</v>
      </c>
      <c r="B846" s="532">
        <v>5.0000000000000001E-4</v>
      </c>
      <c r="C846" s="640">
        <v>1.0421746999999999</v>
      </c>
    </row>
    <row r="847" spans="1:3">
      <c r="A847" s="531">
        <v>44418</v>
      </c>
      <c r="B847" s="532">
        <v>5.0000000000000001E-4</v>
      </c>
      <c r="C847" s="640">
        <v>1.04217615</v>
      </c>
    </row>
    <row r="848" spans="1:3">
      <c r="A848" s="531">
        <v>44419</v>
      </c>
      <c r="B848" s="532">
        <v>5.0000000000000001E-4</v>
      </c>
      <c r="C848" s="640">
        <v>1.0421776</v>
      </c>
    </row>
    <row r="849" spans="1:3">
      <c r="A849" s="531">
        <v>44420</v>
      </c>
      <c r="B849" s="532">
        <v>5.0000000000000001E-4</v>
      </c>
      <c r="C849" s="640">
        <v>1.0421790399999999</v>
      </c>
    </row>
    <row r="850" spans="1:3">
      <c r="A850" s="531">
        <v>44421</v>
      </c>
      <c r="B850" s="532">
        <v>5.0000000000000001E-4</v>
      </c>
      <c r="C850" s="640">
        <v>1.04218049</v>
      </c>
    </row>
    <row r="851" spans="1:3">
      <c r="A851" s="531">
        <v>44424</v>
      </c>
      <c r="B851" s="532">
        <v>5.0000000000000001E-4</v>
      </c>
      <c r="C851" s="640">
        <v>1.0421848300000001</v>
      </c>
    </row>
    <row r="852" spans="1:3">
      <c r="A852" s="531">
        <v>44425</v>
      </c>
      <c r="B852" s="532">
        <v>5.0000000000000001E-4</v>
      </c>
      <c r="C852" s="640">
        <v>1.0421862799999999</v>
      </c>
    </row>
    <row r="853" spans="1:3">
      <c r="A853" s="531">
        <v>44426</v>
      </c>
      <c r="B853" s="532">
        <v>5.0000000000000001E-4</v>
      </c>
      <c r="C853" s="640">
        <v>1.04218773</v>
      </c>
    </row>
    <row r="854" spans="1:3">
      <c r="A854" s="531">
        <v>44427</v>
      </c>
      <c r="B854" s="532">
        <v>5.0000000000000001E-4</v>
      </c>
      <c r="C854" s="640">
        <v>1.04218918</v>
      </c>
    </row>
    <row r="855" spans="1:3">
      <c r="A855" s="531">
        <v>44428</v>
      </c>
      <c r="B855" s="532">
        <v>5.0000000000000001E-4</v>
      </c>
      <c r="C855" s="640">
        <v>1.04219062</v>
      </c>
    </row>
    <row r="856" spans="1:3">
      <c r="A856" s="531">
        <v>44431</v>
      </c>
      <c r="B856" s="532">
        <v>5.0000000000000001E-4</v>
      </c>
      <c r="C856" s="640">
        <v>1.0421949699999999</v>
      </c>
    </row>
    <row r="857" spans="1:3">
      <c r="A857" s="531">
        <v>44432</v>
      </c>
      <c r="B857" s="532">
        <v>5.0000000000000001E-4</v>
      </c>
      <c r="C857" s="640">
        <v>1.0421964100000001</v>
      </c>
    </row>
    <row r="858" spans="1:3">
      <c r="A858" s="531">
        <v>44433</v>
      </c>
      <c r="B858" s="532">
        <v>5.0000000000000001E-4</v>
      </c>
      <c r="C858" s="640">
        <v>1.0421978599999999</v>
      </c>
    </row>
    <row r="859" spans="1:3">
      <c r="A859" s="531">
        <v>44434</v>
      </c>
      <c r="B859" s="532">
        <v>5.0000000000000001E-4</v>
      </c>
      <c r="C859" s="640">
        <v>1.04219931</v>
      </c>
    </row>
    <row r="860" spans="1:3">
      <c r="A860" s="531">
        <v>44435</v>
      </c>
      <c r="B860" s="532">
        <v>5.0000000000000001E-4</v>
      </c>
      <c r="C860" s="640">
        <v>1.0422007600000001</v>
      </c>
    </row>
    <row r="861" spans="1:3">
      <c r="A861" s="531">
        <v>44438</v>
      </c>
      <c r="B861" s="532">
        <v>5.0000000000000001E-4</v>
      </c>
      <c r="C861" s="640">
        <v>1.0422051000000001</v>
      </c>
    </row>
    <row r="862" spans="1:3">
      <c r="A862" s="531">
        <v>44439</v>
      </c>
      <c r="B862" s="532">
        <v>5.0000000000000001E-4</v>
      </c>
      <c r="C862" s="640">
        <v>1.04220655</v>
      </c>
    </row>
    <row r="863" spans="1:3">
      <c r="A863" s="531">
        <v>44440</v>
      </c>
      <c r="B863" s="532">
        <v>5.0000000000000001E-4</v>
      </c>
      <c r="C863" s="640">
        <v>1.0422079900000001</v>
      </c>
    </row>
    <row r="864" spans="1:3">
      <c r="A864" s="531">
        <v>44441</v>
      </c>
      <c r="B864" s="532">
        <v>5.0000000000000001E-4</v>
      </c>
      <c r="C864" s="640">
        <v>1.0422094399999999</v>
      </c>
    </row>
    <row r="865" spans="1:3">
      <c r="A865" s="531">
        <v>44442</v>
      </c>
      <c r="B865" s="532">
        <v>5.0000000000000001E-4</v>
      </c>
      <c r="C865" s="640">
        <v>1.04221089</v>
      </c>
    </row>
    <row r="866" spans="1:3">
      <c r="A866" s="531">
        <v>44446</v>
      </c>
      <c r="B866" s="532">
        <v>5.0000000000000001E-4</v>
      </c>
      <c r="C866" s="640">
        <v>1.0422166799999999</v>
      </c>
    </row>
    <row r="867" spans="1:3">
      <c r="A867" s="531">
        <v>44447</v>
      </c>
      <c r="B867" s="532">
        <v>5.0000000000000001E-4</v>
      </c>
      <c r="C867" s="640">
        <v>1.04221813</v>
      </c>
    </row>
    <row r="868" spans="1:3">
      <c r="A868" s="531">
        <v>44448</v>
      </c>
      <c r="B868" s="532">
        <v>5.0000000000000001E-4</v>
      </c>
      <c r="C868" s="640">
        <v>1.0422195700000001</v>
      </c>
    </row>
    <row r="869" spans="1:3">
      <c r="A869" s="531">
        <v>44449</v>
      </c>
      <c r="B869" s="532">
        <v>5.0000000000000001E-4</v>
      </c>
      <c r="C869" s="640">
        <v>1.0422210199999999</v>
      </c>
    </row>
    <row r="870" spans="1:3">
      <c r="A870" s="531">
        <v>44452</v>
      </c>
      <c r="B870" s="532">
        <v>5.0000000000000001E-4</v>
      </c>
      <c r="C870" s="640">
        <v>1.04222536</v>
      </c>
    </row>
    <row r="871" spans="1:3">
      <c r="A871" s="531">
        <v>44453</v>
      </c>
      <c r="B871" s="532">
        <v>5.0000000000000001E-4</v>
      </c>
      <c r="C871" s="640">
        <v>1.0422268100000001</v>
      </c>
    </row>
    <row r="872" spans="1:3">
      <c r="A872" s="531">
        <v>44454</v>
      </c>
      <c r="B872" s="532">
        <v>5.0000000000000001E-4</v>
      </c>
      <c r="C872" s="640">
        <v>1.0422282599999999</v>
      </c>
    </row>
    <row r="873" spans="1:3">
      <c r="A873" s="531">
        <v>44455</v>
      </c>
      <c r="B873" s="532">
        <v>5.0000000000000001E-4</v>
      </c>
      <c r="C873" s="640">
        <v>1.04222971</v>
      </c>
    </row>
    <row r="874" spans="1:3">
      <c r="A874" s="531">
        <v>44456</v>
      </c>
      <c r="B874" s="532">
        <v>5.0000000000000001E-4</v>
      </c>
      <c r="C874" s="640">
        <v>1.0422311500000001</v>
      </c>
    </row>
    <row r="875" spans="1:3">
      <c r="A875" s="531">
        <v>44459</v>
      </c>
      <c r="B875" s="532">
        <v>5.0000000000000001E-4</v>
      </c>
      <c r="C875" s="640">
        <v>1.0422355000000001</v>
      </c>
    </row>
    <row r="876" spans="1:3">
      <c r="A876" s="531">
        <v>44460</v>
      </c>
      <c r="B876" s="532">
        <v>5.0000000000000001E-4</v>
      </c>
      <c r="C876" s="640">
        <v>1.04223694</v>
      </c>
    </row>
    <row r="877" spans="1:3">
      <c r="A877" s="531">
        <v>44461</v>
      </c>
      <c r="B877" s="532">
        <v>5.0000000000000001E-4</v>
      </c>
      <c r="C877" s="640">
        <v>1.0422383900000001</v>
      </c>
    </row>
    <row r="878" spans="1:3">
      <c r="A878" s="531">
        <v>44462</v>
      </c>
      <c r="B878" s="532">
        <v>5.0000000000000001E-4</v>
      </c>
      <c r="C878" s="640">
        <v>1.0422398399999999</v>
      </c>
    </row>
    <row r="879" spans="1:3">
      <c r="A879" s="531">
        <v>44463</v>
      </c>
      <c r="B879" s="532">
        <v>5.0000000000000001E-4</v>
      </c>
      <c r="C879" s="640">
        <v>1.04224129</v>
      </c>
    </row>
    <row r="880" spans="1:3">
      <c r="A880" s="531">
        <v>44466</v>
      </c>
      <c r="B880" s="532">
        <v>5.0000000000000001E-4</v>
      </c>
      <c r="C880" s="640">
        <v>1.04224563</v>
      </c>
    </row>
    <row r="881" spans="1:3">
      <c r="A881" s="531">
        <v>44467</v>
      </c>
      <c r="B881" s="532">
        <v>5.0000000000000001E-4</v>
      </c>
      <c r="C881" s="640">
        <v>1.0422470800000001</v>
      </c>
    </row>
    <row r="882" spans="1:3">
      <c r="A882" s="531">
        <v>44468</v>
      </c>
      <c r="B882" s="532">
        <v>5.0000000000000001E-4</v>
      </c>
      <c r="C882" s="640">
        <v>1.04224853</v>
      </c>
    </row>
    <row r="883" spans="1:3">
      <c r="A883" s="531">
        <v>44469</v>
      </c>
      <c r="B883" s="532">
        <v>5.0000000000000001E-4</v>
      </c>
      <c r="C883" s="640">
        <v>1.0422499700000001</v>
      </c>
    </row>
    <row r="884" spans="1:3">
      <c r="A884" s="531">
        <v>44470</v>
      </c>
      <c r="B884" s="532">
        <v>5.0000000000000001E-4</v>
      </c>
      <c r="C884" s="640">
        <v>1.0422514199999999</v>
      </c>
    </row>
    <row r="885" spans="1:3">
      <c r="A885" s="531">
        <v>44473</v>
      </c>
      <c r="B885" s="532">
        <v>5.0000000000000001E-4</v>
      </c>
      <c r="C885" s="640">
        <v>1.04225576</v>
      </c>
    </row>
    <row r="886" spans="1:3">
      <c r="A886" s="531">
        <v>44474</v>
      </c>
      <c r="B886" s="532">
        <v>5.0000000000000001E-4</v>
      </c>
      <c r="C886" s="640">
        <v>1.04225721</v>
      </c>
    </row>
    <row r="887" spans="1:3">
      <c r="A887" s="531">
        <v>44475</v>
      </c>
      <c r="B887" s="532">
        <v>5.0000000000000001E-4</v>
      </c>
      <c r="C887" s="640">
        <v>1.0422586599999999</v>
      </c>
    </row>
    <row r="888" spans="1:3">
      <c r="A888" s="531">
        <v>44476</v>
      </c>
      <c r="B888" s="532">
        <v>5.0000000000000001E-4</v>
      </c>
      <c r="C888" s="640">
        <v>1.04226011</v>
      </c>
    </row>
    <row r="889" spans="1:3">
      <c r="A889" s="531">
        <v>44477</v>
      </c>
      <c r="B889" s="532">
        <v>5.0000000000000001E-4</v>
      </c>
      <c r="C889" s="640">
        <v>1.0422615500000001</v>
      </c>
    </row>
    <row r="890" spans="1:3">
      <c r="A890" s="531">
        <v>44481</v>
      </c>
      <c r="B890" s="532">
        <v>5.0000000000000001E-4</v>
      </c>
      <c r="C890" s="640">
        <v>1.04226734</v>
      </c>
    </row>
    <row r="891" spans="1:3">
      <c r="A891" s="531">
        <v>44482</v>
      </c>
      <c r="B891" s="532">
        <v>5.0000000000000001E-4</v>
      </c>
      <c r="C891" s="640">
        <v>1.0422687900000001</v>
      </c>
    </row>
    <row r="892" spans="1:3">
      <c r="A892" s="531">
        <v>44483</v>
      </c>
      <c r="B892" s="532">
        <v>5.0000000000000001E-4</v>
      </c>
      <c r="C892" s="640">
        <v>1.0422702399999999</v>
      </c>
    </row>
    <row r="893" spans="1:3">
      <c r="A893" s="531">
        <v>44484</v>
      </c>
      <c r="B893" s="532">
        <v>5.0000000000000001E-4</v>
      </c>
      <c r="C893" s="640">
        <v>1.04227169</v>
      </c>
    </row>
    <row r="894" spans="1:3">
      <c r="A894" s="531">
        <v>44487</v>
      </c>
      <c r="B894" s="532">
        <v>5.0000000000000001E-4</v>
      </c>
      <c r="C894" s="640">
        <v>1.04227603</v>
      </c>
    </row>
    <row r="895" spans="1:3">
      <c r="A895" s="531">
        <v>44488</v>
      </c>
      <c r="B895" s="532">
        <v>2.9999999999999997E-4</v>
      </c>
      <c r="C895" s="640">
        <v>1.0422774800000001</v>
      </c>
    </row>
    <row r="896" spans="1:3">
      <c r="A896" s="531">
        <v>44489</v>
      </c>
      <c r="B896" s="532">
        <v>2.9999999999999997E-4</v>
      </c>
      <c r="C896" s="640">
        <v>1.0422783499999999</v>
      </c>
    </row>
    <row r="897" spans="1:3">
      <c r="A897" s="531">
        <v>44490</v>
      </c>
      <c r="B897" s="532">
        <v>2.9999999999999997E-4</v>
      </c>
      <c r="C897" s="640">
        <v>1.04227921</v>
      </c>
    </row>
    <row r="898" spans="1:3">
      <c r="A898" s="531">
        <v>44491</v>
      </c>
      <c r="B898" s="532">
        <v>5.0000000000000001E-4</v>
      </c>
      <c r="C898" s="640">
        <v>1.0422800800000001</v>
      </c>
    </row>
    <row r="899" spans="1:3">
      <c r="A899" s="531">
        <v>44494</v>
      </c>
      <c r="B899" s="532">
        <v>4.0000000000000002E-4</v>
      </c>
      <c r="C899" s="640">
        <v>1.04228443</v>
      </c>
    </row>
    <row r="900" spans="1:3">
      <c r="A900" s="531">
        <v>44495</v>
      </c>
      <c r="B900" s="532">
        <v>5.0000000000000001E-4</v>
      </c>
      <c r="C900" s="640">
        <v>1.0422855799999999</v>
      </c>
    </row>
    <row r="901" spans="1:3">
      <c r="A901" s="531">
        <v>44496</v>
      </c>
      <c r="B901" s="532">
        <v>5.0000000000000001E-4</v>
      </c>
      <c r="C901" s="640">
        <v>1.04228703</v>
      </c>
    </row>
    <row r="902" spans="1:3">
      <c r="A902" s="531">
        <v>44497</v>
      </c>
      <c r="B902" s="532">
        <v>5.0000000000000001E-4</v>
      </c>
      <c r="C902" s="640">
        <v>1.0422884800000001</v>
      </c>
    </row>
    <row r="903" spans="1:3">
      <c r="A903" s="531">
        <v>44498</v>
      </c>
      <c r="B903" s="532">
        <v>5.0000000000000001E-4</v>
      </c>
      <c r="C903" s="640">
        <v>1.0422899299999999</v>
      </c>
    </row>
    <row r="904" spans="1:3">
      <c r="A904" s="531">
        <v>44501</v>
      </c>
      <c r="B904" s="532">
        <v>5.0000000000000001E-4</v>
      </c>
      <c r="C904" s="640">
        <v>1.04229427</v>
      </c>
    </row>
    <row r="905" spans="1:3">
      <c r="A905" s="531">
        <v>44502</v>
      </c>
      <c r="B905" s="532">
        <v>5.0000000000000001E-4</v>
      </c>
      <c r="C905" s="640">
        <v>1.04229572</v>
      </c>
    </row>
    <row r="906" spans="1:3">
      <c r="A906" s="531">
        <v>44503</v>
      </c>
      <c r="B906" s="532">
        <v>5.0000000000000001E-4</v>
      </c>
      <c r="C906" s="640">
        <v>1.0422971599999999</v>
      </c>
    </row>
    <row r="907" spans="1:3">
      <c r="A907" s="531">
        <v>44504</v>
      </c>
      <c r="B907" s="532">
        <v>5.0000000000000001E-4</v>
      </c>
      <c r="C907" s="640">
        <v>1.04229861</v>
      </c>
    </row>
    <row r="908" spans="1:3">
      <c r="A908" s="531">
        <v>44505</v>
      </c>
      <c r="B908" s="532">
        <v>5.0000000000000001E-4</v>
      </c>
      <c r="C908" s="640">
        <v>1.0423000600000001</v>
      </c>
    </row>
    <row r="909" spans="1:3">
      <c r="A909" s="531">
        <v>44508</v>
      </c>
      <c r="B909" s="532">
        <v>5.0000000000000001E-4</v>
      </c>
      <c r="C909" s="640">
        <v>1.0423043999999999</v>
      </c>
    </row>
    <row r="910" spans="1:3">
      <c r="A910" s="531">
        <v>44509</v>
      </c>
      <c r="B910" s="532">
        <v>5.0000000000000001E-4</v>
      </c>
      <c r="C910" s="640">
        <v>1.04230585</v>
      </c>
    </row>
    <row r="911" spans="1:3">
      <c r="A911" s="531">
        <v>44510</v>
      </c>
      <c r="B911" s="532">
        <v>5.0000000000000001E-4</v>
      </c>
      <c r="C911" s="640">
        <v>1.0423073</v>
      </c>
    </row>
    <row r="912" spans="1:3">
      <c r="A912" s="531">
        <v>44512</v>
      </c>
      <c r="B912" s="532">
        <v>5.0000000000000001E-4</v>
      </c>
      <c r="C912" s="640">
        <v>1.04231019</v>
      </c>
    </row>
    <row r="913" spans="1:3">
      <c r="A913" s="531">
        <v>44515</v>
      </c>
      <c r="B913" s="532">
        <v>5.0000000000000001E-4</v>
      </c>
      <c r="C913" s="640">
        <v>1.04231454</v>
      </c>
    </row>
    <row r="914" spans="1:3">
      <c r="A914" s="531">
        <v>44516</v>
      </c>
      <c r="B914" s="532">
        <v>5.0000000000000001E-4</v>
      </c>
      <c r="C914" s="640">
        <v>1.0423159799999999</v>
      </c>
    </row>
    <row r="915" spans="1:3">
      <c r="A915" s="531">
        <v>44517</v>
      </c>
      <c r="B915" s="532">
        <v>5.0000000000000001E-4</v>
      </c>
      <c r="C915" s="640">
        <v>1.04231743</v>
      </c>
    </row>
    <row r="916" spans="1:3">
      <c r="A916" s="531">
        <v>44518</v>
      </c>
      <c r="B916" s="532">
        <v>5.0000000000000001E-4</v>
      </c>
      <c r="C916" s="640">
        <v>1.0423188800000001</v>
      </c>
    </row>
    <row r="917" spans="1:3">
      <c r="A917" s="531">
        <v>44519</v>
      </c>
      <c r="B917" s="532">
        <v>5.0000000000000001E-4</v>
      </c>
      <c r="C917" s="640">
        <v>1.0423203299999999</v>
      </c>
    </row>
    <row r="918" spans="1:3">
      <c r="A918" s="531">
        <v>44522</v>
      </c>
      <c r="B918" s="532">
        <v>5.0000000000000001E-4</v>
      </c>
      <c r="C918" s="640">
        <v>1.04232467</v>
      </c>
    </row>
    <row r="919" spans="1:3">
      <c r="A919" s="531">
        <v>44523</v>
      </c>
      <c r="B919" s="532">
        <v>5.0000000000000001E-4</v>
      </c>
      <c r="C919" s="640">
        <v>1.04232612</v>
      </c>
    </row>
    <row r="920" spans="1:3">
      <c r="A920" s="531">
        <v>44524</v>
      </c>
      <c r="B920" s="532">
        <v>5.0000000000000001E-4</v>
      </c>
      <c r="C920" s="640">
        <v>1.0423275700000001</v>
      </c>
    </row>
    <row r="921" spans="1:3">
      <c r="A921" s="531">
        <v>44526</v>
      </c>
      <c r="B921" s="532">
        <v>5.0000000000000001E-4</v>
      </c>
      <c r="C921" s="640">
        <v>1.0423304600000001</v>
      </c>
    </row>
    <row r="922" spans="1:3">
      <c r="A922" s="531">
        <v>44529</v>
      </c>
      <c r="B922" s="532">
        <v>5.0000000000000001E-4</v>
      </c>
      <c r="C922" s="640">
        <v>1.0423347999999999</v>
      </c>
    </row>
    <row r="923" spans="1:3">
      <c r="A923" s="531">
        <v>44530</v>
      </c>
      <c r="B923" s="532">
        <v>5.0000000000000001E-4</v>
      </c>
      <c r="C923" s="640">
        <v>1.04233625</v>
      </c>
    </row>
    <row r="924" spans="1:3">
      <c r="A924" s="531">
        <v>44531</v>
      </c>
      <c r="B924" s="532">
        <v>5.0000000000000001E-4</v>
      </c>
      <c r="C924" s="640">
        <v>1.0423377</v>
      </c>
    </row>
    <row r="925" spans="1:3">
      <c r="A925" s="531">
        <v>44532</v>
      </c>
      <c r="B925" s="532">
        <v>5.0000000000000001E-4</v>
      </c>
      <c r="C925" s="640">
        <v>1.0423391500000001</v>
      </c>
    </row>
    <row r="926" spans="1:3">
      <c r="A926" s="531">
        <v>44533</v>
      </c>
      <c r="B926" s="532">
        <v>5.0000000000000001E-4</v>
      </c>
      <c r="C926" s="640">
        <v>1.04234059</v>
      </c>
    </row>
    <row r="927" spans="1:3">
      <c r="A927" s="531">
        <v>44536</v>
      </c>
      <c r="B927" s="532">
        <v>5.0000000000000001E-4</v>
      </c>
      <c r="C927" s="640">
        <v>1.04234494</v>
      </c>
    </row>
    <row r="928" spans="1:3">
      <c r="A928" s="531">
        <v>44537</v>
      </c>
      <c r="B928" s="532">
        <v>5.0000000000000001E-4</v>
      </c>
      <c r="C928" s="640">
        <v>1.0423463900000001</v>
      </c>
    </row>
    <row r="929" spans="1:3">
      <c r="A929" s="531">
        <v>44538</v>
      </c>
      <c r="B929" s="532">
        <v>5.0000000000000001E-4</v>
      </c>
      <c r="C929" s="640">
        <v>1.04234783</v>
      </c>
    </row>
    <row r="930" spans="1:3">
      <c r="A930" s="531">
        <v>44539</v>
      </c>
      <c r="B930" s="532">
        <v>5.0000000000000001E-4</v>
      </c>
      <c r="C930" s="640">
        <v>1.04234928</v>
      </c>
    </row>
    <row r="931" spans="1:3">
      <c r="A931" s="531">
        <v>44540</v>
      </c>
      <c r="B931" s="532">
        <v>5.0000000000000001E-4</v>
      </c>
      <c r="C931" s="640">
        <v>1.0423507299999999</v>
      </c>
    </row>
    <row r="932" spans="1:3">
      <c r="A932" s="531">
        <v>44543</v>
      </c>
      <c r="B932" s="532">
        <v>5.0000000000000001E-4</v>
      </c>
      <c r="C932" s="640">
        <v>1.0423550699999999</v>
      </c>
    </row>
    <row r="933" spans="1:3">
      <c r="A933" s="531">
        <v>44544</v>
      </c>
      <c r="B933" s="532">
        <v>5.0000000000000001E-4</v>
      </c>
      <c r="C933" s="640">
        <v>1.04235652</v>
      </c>
    </row>
    <row r="934" spans="1:3">
      <c r="A934" s="531">
        <v>44545</v>
      </c>
      <c r="B934" s="532">
        <v>5.0000000000000001E-4</v>
      </c>
      <c r="C934" s="640">
        <v>1.0423579700000001</v>
      </c>
    </row>
    <row r="935" spans="1:3">
      <c r="A935" s="531">
        <v>44546</v>
      </c>
      <c r="B935" s="532">
        <v>5.0000000000000001E-4</v>
      </c>
      <c r="C935" s="640">
        <v>1.04235941</v>
      </c>
    </row>
    <row r="936" spans="1:3">
      <c r="A936" s="531">
        <v>44547</v>
      </c>
      <c r="B936" s="532">
        <v>5.0000000000000001E-4</v>
      </c>
      <c r="C936" s="640">
        <v>1.0423608600000001</v>
      </c>
    </row>
    <row r="937" spans="1:3">
      <c r="A937" s="531">
        <v>44550</v>
      </c>
      <c r="B937" s="532">
        <v>4.0000000000000002E-4</v>
      </c>
      <c r="C937" s="640">
        <v>1.04236521</v>
      </c>
    </row>
    <row r="938" spans="1:3">
      <c r="A938" s="531">
        <v>44551</v>
      </c>
      <c r="B938" s="532">
        <v>5.0000000000000001E-4</v>
      </c>
      <c r="C938" s="640">
        <v>1.0423663599999999</v>
      </c>
    </row>
    <row r="939" spans="1:3">
      <c r="A939" s="531">
        <v>44552</v>
      </c>
      <c r="B939" s="532">
        <v>5.0000000000000001E-4</v>
      </c>
      <c r="C939" s="640">
        <v>1.04236781</v>
      </c>
    </row>
    <row r="940" spans="1:3">
      <c r="A940" s="531">
        <v>44553</v>
      </c>
      <c r="B940" s="532">
        <v>5.0000000000000001E-4</v>
      </c>
      <c r="C940" s="640">
        <v>1.0423692600000001</v>
      </c>
    </row>
    <row r="941" spans="1:3">
      <c r="A941" s="531">
        <v>44557</v>
      </c>
      <c r="B941" s="532">
        <v>5.0000000000000001E-4</v>
      </c>
      <c r="C941" s="640">
        <v>1.04237505</v>
      </c>
    </row>
    <row r="942" spans="1:3">
      <c r="A942" s="531">
        <v>44558</v>
      </c>
      <c r="B942" s="532">
        <v>5.0000000000000001E-4</v>
      </c>
      <c r="C942" s="640">
        <v>1.0423765</v>
      </c>
    </row>
    <row r="943" spans="1:3">
      <c r="A943" s="531">
        <v>44559</v>
      </c>
      <c r="B943" s="532">
        <v>5.0000000000000001E-4</v>
      </c>
      <c r="C943" s="640">
        <v>1.0423779500000001</v>
      </c>
    </row>
    <row r="944" spans="1:3">
      <c r="A944" s="531">
        <v>44560</v>
      </c>
      <c r="B944" s="532">
        <v>5.0000000000000001E-4</v>
      </c>
      <c r="C944" s="640">
        <v>1.04237939</v>
      </c>
    </row>
    <row r="945" spans="1:3">
      <c r="A945" s="531">
        <v>44561</v>
      </c>
      <c r="B945" s="532">
        <v>5.0000000000000001E-4</v>
      </c>
      <c r="C945" s="640">
        <v>1.0423808400000001</v>
      </c>
    </row>
    <row r="946" spans="1:3">
      <c r="A946" s="531">
        <v>44564</v>
      </c>
      <c r="B946" s="532">
        <v>5.0000000000000001E-4</v>
      </c>
      <c r="C946" s="640">
        <v>1.0423851799999999</v>
      </c>
    </row>
    <row r="947" spans="1:3">
      <c r="A947" s="531">
        <v>44565</v>
      </c>
      <c r="B947" s="532">
        <v>5.0000000000000001E-4</v>
      </c>
      <c r="C947" s="640">
        <v>1.04238663</v>
      </c>
    </row>
    <row r="948" spans="1:3">
      <c r="A948" s="531">
        <v>44566</v>
      </c>
      <c r="B948" s="532">
        <v>5.0000000000000001E-4</v>
      </c>
      <c r="C948" s="640">
        <v>1.0423880800000001</v>
      </c>
    </row>
    <row r="949" spans="1:3">
      <c r="A949" s="531">
        <v>44567</v>
      </c>
      <c r="B949" s="532">
        <v>5.0000000000000001E-4</v>
      </c>
      <c r="C949" s="640">
        <v>1.0423895299999999</v>
      </c>
    </row>
    <row r="950" spans="1:3">
      <c r="A950" s="531">
        <v>44568</v>
      </c>
      <c r="B950" s="532">
        <v>5.0000000000000001E-4</v>
      </c>
      <c r="C950" s="640">
        <v>1.04239098</v>
      </c>
    </row>
    <row r="951" spans="1:3">
      <c r="A951" s="531">
        <v>44571</v>
      </c>
      <c r="B951" s="532">
        <v>5.0000000000000001E-4</v>
      </c>
      <c r="C951" s="640">
        <v>1.04239532</v>
      </c>
    </row>
    <row r="952" spans="1:3">
      <c r="A952" s="531">
        <v>44572</v>
      </c>
      <c r="B952" s="532">
        <v>5.0000000000000001E-4</v>
      </c>
      <c r="C952" s="640">
        <v>1.0423967700000001</v>
      </c>
    </row>
    <row r="953" spans="1:3">
      <c r="A953" s="531">
        <v>44573</v>
      </c>
      <c r="B953" s="532">
        <v>5.0000000000000001E-4</v>
      </c>
      <c r="C953" s="640">
        <v>1.04239821</v>
      </c>
    </row>
    <row r="954" spans="1:3">
      <c r="A954" s="531">
        <v>44574</v>
      </c>
      <c r="B954" s="532">
        <v>5.0000000000000001E-4</v>
      </c>
      <c r="C954" s="640">
        <v>1.0423996600000001</v>
      </c>
    </row>
    <row r="955" spans="1:3">
      <c r="A955" s="531">
        <v>44575</v>
      </c>
      <c r="B955" s="532">
        <v>5.0000000000000001E-4</v>
      </c>
      <c r="C955" s="640">
        <v>1.0424011099999999</v>
      </c>
    </row>
    <row r="956" spans="1:3">
      <c r="A956" s="531">
        <v>44579</v>
      </c>
      <c r="B956" s="532">
        <v>5.0000000000000001E-4</v>
      </c>
      <c r="C956" s="640">
        <v>1.0424069</v>
      </c>
    </row>
    <row r="957" spans="1:3">
      <c r="A957" s="531">
        <v>44580</v>
      </c>
      <c r="B957" s="532">
        <v>5.0000000000000001E-4</v>
      </c>
      <c r="C957" s="640">
        <v>1.0424083500000001</v>
      </c>
    </row>
    <row r="958" spans="1:3">
      <c r="A958" s="531">
        <v>44581</v>
      </c>
      <c r="B958" s="532">
        <v>4.0000000000000002E-4</v>
      </c>
      <c r="C958" s="640">
        <v>1.0424097999999999</v>
      </c>
    </row>
    <row r="959" spans="1:3">
      <c r="A959" s="531">
        <v>44582</v>
      </c>
      <c r="B959" s="532">
        <v>5.0000000000000001E-4</v>
      </c>
      <c r="C959" s="640">
        <v>1.0424109500000001</v>
      </c>
    </row>
    <row r="960" spans="1:3">
      <c r="A960" s="531">
        <v>44585</v>
      </c>
      <c r="B960" s="532">
        <v>4.0000000000000002E-4</v>
      </c>
      <c r="C960" s="640">
        <v>1.0424153</v>
      </c>
    </row>
    <row r="961" spans="1:3">
      <c r="A961" s="531">
        <v>44586</v>
      </c>
      <c r="B961" s="532">
        <v>5.0000000000000001E-4</v>
      </c>
      <c r="C961" s="640">
        <v>1.0424164600000001</v>
      </c>
    </row>
    <row r="962" spans="1:3">
      <c r="A962" s="531">
        <v>44587</v>
      </c>
      <c r="B962" s="532">
        <v>4.0000000000000002E-4</v>
      </c>
      <c r="C962" s="640">
        <v>1.0424179</v>
      </c>
    </row>
    <row r="963" spans="1:3">
      <c r="A963" s="531">
        <v>44588</v>
      </c>
      <c r="B963" s="532">
        <v>4.0000000000000002E-4</v>
      </c>
      <c r="C963" s="640">
        <v>1.0424190600000001</v>
      </c>
    </row>
    <row r="964" spans="1:3">
      <c r="A964" s="531">
        <v>44589</v>
      </c>
      <c r="B964" s="532">
        <v>5.0000000000000001E-4</v>
      </c>
      <c r="C964" s="640">
        <v>1.0424202199999999</v>
      </c>
    </row>
    <row r="965" spans="1:3">
      <c r="A965" s="531">
        <v>44592</v>
      </c>
      <c r="B965" s="532">
        <v>5.0000000000000001E-4</v>
      </c>
      <c r="C965" s="640">
        <v>1.0424245599999999</v>
      </c>
    </row>
    <row r="966" spans="1:3">
      <c r="A966" s="531">
        <v>44593</v>
      </c>
      <c r="B966" s="532">
        <v>5.0000000000000001E-4</v>
      </c>
      <c r="C966" s="640">
        <v>1.04242601</v>
      </c>
    </row>
    <row r="967" spans="1:3">
      <c r="A967" s="531">
        <v>44594</v>
      </c>
      <c r="B967" s="532">
        <v>5.0000000000000001E-4</v>
      </c>
      <c r="C967" s="640">
        <v>1.0424274600000001</v>
      </c>
    </row>
    <row r="968" spans="1:3">
      <c r="A968" s="531">
        <v>44595</v>
      </c>
      <c r="B968" s="532">
        <v>5.0000000000000001E-4</v>
      </c>
      <c r="C968" s="640">
        <v>1.0424289099999999</v>
      </c>
    </row>
    <row r="969" spans="1:3">
      <c r="A969" s="531">
        <v>44596</v>
      </c>
      <c r="B969" s="532">
        <v>5.0000000000000001E-4</v>
      </c>
      <c r="C969" s="640">
        <v>1.04243036</v>
      </c>
    </row>
    <row r="970" spans="1:3">
      <c r="A970" s="531">
        <v>44599</v>
      </c>
      <c r="B970" s="532">
        <v>5.0000000000000001E-4</v>
      </c>
      <c r="C970" s="640">
        <v>1.0424347</v>
      </c>
    </row>
    <row r="971" spans="1:3">
      <c r="A971" s="531">
        <v>44600</v>
      </c>
      <c r="B971" s="532">
        <v>5.0000000000000001E-4</v>
      </c>
      <c r="C971" s="640">
        <v>1.0424361499999999</v>
      </c>
    </row>
    <row r="972" spans="1:3">
      <c r="A972" s="531">
        <v>44601</v>
      </c>
      <c r="B972" s="532">
        <v>4.0000000000000002E-4</v>
      </c>
      <c r="C972" s="640">
        <v>1.04243759</v>
      </c>
    </row>
    <row r="973" spans="1:3">
      <c r="A973" s="531">
        <v>44602</v>
      </c>
      <c r="B973" s="532">
        <v>5.0000000000000001E-4</v>
      </c>
      <c r="C973" s="640">
        <v>1.0424387500000001</v>
      </c>
    </row>
    <row r="974" spans="1:3">
      <c r="A974" s="531">
        <v>44603</v>
      </c>
      <c r="B974" s="532">
        <v>5.0000000000000001E-4</v>
      </c>
      <c r="C974" s="640">
        <v>1.0424401999999999</v>
      </c>
    </row>
    <row r="975" spans="1:3">
      <c r="A975" s="531">
        <v>44606</v>
      </c>
      <c r="B975" s="532">
        <v>5.0000000000000001E-4</v>
      </c>
      <c r="C975" s="640">
        <v>1.04244454</v>
      </c>
    </row>
    <row r="976" spans="1:3">
      <c r="A976" s="531">
        <v>44607</v>
      </c>
      <c r="B976" s="532">
        <v>5.0000000000000001E-4</v>
      </c>
      <c r="C976" s="640">
        <v>1.04244599</v>
      </c>
    </row>
    <row r="977" spans="1:3">
      <c r="A977" s="531">
        <v>44608</v>
      </c>
      <c r="B977" s="532">
        <v>5.0000000000000001E-4</v>
      </c>
      <c r="C977" s="640">
        <v>1.0424474399999999</v>
      </c>
    </row>
    <row r="978" spans="1:3">
      <c r="A978" s="531">
        <v>44609</v>
      </c>
      <c r="B978" s="532">
        <v>5.0000000000000001E-4</v>
      </c>
      <c r="C978" s="640">
        <v>1.04244889</v>
      </c>
    </row>
    <row r="979" spans="1:3">
      <c r="A979" s="531">
        <v>44610</v>
      </c>
      <c r="B979" s="532">
        <v>5.0000000000000001E-4</v>
      </c>
      <c r="C979" s="640">
        <v>1.04245034</v>
      </c>
    </row>
    <row r="980" spans="1:3">
      <c r="A980" s="531">
        <v>44614</v>
      </c>
      <c r="B980" s="532">
        <v>5.0000000000000001E-4</v>
      </c>
      <c r="C980" s="640">
        <v>1.0424561299999999</v>
      </c>
    </row>
    <row r="981" spans="1:3">
      <c r="A981" s="531">
        <v>44615</v>
      </c>
      <c r="B981" s="532">
        <v>5.0000000000000001E-4</v>
      </c>
      <c r="C981" s="640">
        <v>1.0424575700000001</v>
      </c>
    </row>
    <row r="982" spans="1:3">
      <c r="A982" s="531">
        <v>44616</v>
      </c>
      <c r="B982" s="532">
        <v>5.0000000000000001E-4</v>
      </c>
      <c r="C982" s="640">
        <v>1.0424590199999999</v>
      </c>
    </row>
    <row r="983" spans="1:3">
      <c r="A983" s="531">
        <v>44617</v>
      </c>
      <c r="B983" s="532">
        <v>5.0000000000000001E-4</v>
      </c>
      <c r="C983" s="640">
        <v>1.04246047</v>
      </c>
    </row>
    <row r="984" spans="1:3">
      <c r="A984" s="531">
        <v>44620</v>
      </c>
      <c r="B984" s="532">
        <v>5.0000000000000001E-4</v>
      </c>
      <c r="C984" s="640">
        <v>1.04246481</v>
      </c>
    </row>
    <row r="985" spans="1:3">
      <c r="A985" s="531">
        <v>44621</v>
      </c>
      <c r="B985" s="532">
        <v>5.0000000000000001E-4</v>
      </c>
      <c r="C985" s="640">
        <v>1.0424662600000001</v>
      </c>
    </row>
    <row r="986" spans="1:3">
      <c r="A986" s="531">
        <v>44622</v>
      </c>
      <c r="B986" s="532">
        <v>5.0000000000000001E-4</v>
      </c>
      <c r="C986" s="640">
        <v>1.0424677099999999</v>
      </c>
    </row>
    <row r="987" spans="1:3">
      <c r="A987" s="531">
        <v>44623</v>
      </c>
      <c r="B987" s="532">
        <v>5.0000000000000001E-4</v>
      </c>
      <c r="C987" s="640">
        <v>1.04246916</v>
      </c>
    </row>
    <row r="988" spans="1:3">
      <c r="A988" s="531">
        <v>44624</v>
      </c>
      <c r="B988" s="532">
        <v>5.0000000000000001E-4</v>
      </c>
      <c r="C988" s="640">
        <v>1.0424706100000001</v>
      </c>
    </row>
    <row r="989" spans="1:3">
      <c r="A989" s="531">
        <v>44627</v>
      </c>
      <c r="B989" s="532">
        <v>5.0000000000000001E-4</v>
      </c>
      <c r="C989" s="640">
        <v>1.0424749499999999</v>
      </c>
    </row>
    <row r="990" spans="1:3">
      <c r="A990" s="531">
        <v>44628</v>
      </c>
      <c r="B990" s="532">
        <v>5.0000000000000001E-4</v>
      </c>
      <c r="C990" s="640">
        <v>1.0424764</v>
      </c>
    </row>
    <row r="991" spans="1:3">
      <c r="A991" s="531">
        <v>44629</v>
      </c>
      <c r="B991" s="532">
        <v>5.0000000000000001E-4</v>
      </c>
      <c r="C991" s="640">
        <v>1.0424778400000001</v>
      </c>
    </row>
    <row r="992" spans="1:3">
      <c r="A992" s="531">
        <v>44630</v>
      </c>
      <c r="B992" s="532">
        <v>5.0000000000000001E-4</v>
      </c>
      <c r="C992" s="640">
        <v>1.0424792899999999</v>
      </c>
    </row>
    <row r="993" spans="1:3">
      <c r="A993" s="531">
        <v>44631</v>
      </c>
      <c r="B993" s="532">
        <v>5.0000000000000001E-4</v>
      </c>
      <c r="C993" s="640">
        <v>1.04248074</v>
      </c>
    </row>
    <row r="994" spans="1:3">
      <c r="A994" s="531">
        <v>44634</v>
      </c>
      <c r="B994" s="532">
        <v>5.0000000000000001E-4</v>
      </c>
      <c r="C994" s="640">
        <v>1.0424850800000001</v>
      </c>
    </row>
    <row r="995" spans="1:3">
      <c r="A995" s="531">
        <v>44635</v>
      </c>
      <c r="B995" s="532">
        <v>5.0000000000000001E-4</v>
      </c>
      <c r="C995" s="640">
        <v>1.0424865299999999</v>
      </c>
    </row>
    <row r="996" spans="1:3">
      <c r="A996" s="531">
        <v>44636</v>
      </c>
      <c r="B996" s="532">
        <v>5.0000000000000001E-4</v>
      </c>
      <c r="C996" s="640">
        <v>1.04248798</v>
      </c>
    </row>
    <row r="997" spans="1:3">
      <c r="A997" s="531">
        <v>44637</v>
      </c>
      <c r="B997" s="532">
        <v>3.0000000000000001E-3</v>
      </c>
      <c r="C997" s="640">
        <v>1.0424894300000001</v>
      </c>
    </row>
    <row r="998" spans="1:3">
      <c r="A998" s="531">
        <v>44638</v>
      </c>
      <c r="B998" s="532">
        <v>3.0000000000000001E-3</v>
      </c>
      <c r="C998" s="640">
        <v>1.0424981200000001</v>
      </c>
    </row>
    <row r="999" spans="1:3">
      <c r="A999" s="531">
        <v>44641</v>
      </c>
      <c r="B999" s="532">
        <v>2.8999999999999998E-3</v>
      </c>
      <c r="C999" s="640">
        <v>1.04252418</v>
      </c>
    </row>
    <row r="1000" spans="1:3">
      <c r="A1000" s="531">
        <v>44642</v>
      </c>
      <c r="B1000" s="532">
        <v>2.8000000000000004E-3</v>
      </c>
      <c r="C1000" s="640">
        <v>1.04253258</v>
      </c>
    </row>
    <row r="1001" spans="1:3">
      <c r="A1001" s="531">
        <v>44643</v>
      </c>
      <c r="B1001" s="532">
        <v>2.7000000000000001E-3</v>
      </c>
      <c r="C1001" s="640">
        <v>1.0425406800000001</v>
      </c>
    </row>
    <row r="1002" spans="1:3">
      <c r="A1002" s="531">
        <v>44644</v>
      </c>
      <c r="B1002" s="532">
        <v>2.7000000000000001E-3</v>
      </c>
      <c r="C1002" s="640">
        <v>1.0425485000000001</v>
      </c>
    </row>
    <row r="1003" spans="1:3">
      <c r="A1003" s="531">
        <v>44645</v>
      </c>
      <c r="B1003" s="532">
        <v>2.8000000000000004E-3</v>
      </c>
      <c r="C1003" s="640">
        <v>1.0425563200000001</v>
      </c>
    </row>
    <row r="1004" spans="1:3">
      <c r="A1004" s="531">
        <v>44648</v>
      </c>
      <c r="B1004" s="532">
        <v>2.8000000000000004E-3</v>
      </c>
      <c r="C1004" s="640">
        <v>1.0425806500000001</v>
      </c>
    </row>
    <row r="1005" spans="1:3">
      <c r="A1005" s="531">
        <v>44649</v>
      </c>
      <c r="B1005" s="532">
        <v>2.8000000000000004E-3</v>
      </c>
      <c r="C1005" s="640">
        <v>1.0425887599999999</v>
      </c>
    </row>
    <row r="1006" spans="1:3">
      <c r="A1006" s="531">
        <v>44650</v>
      </c>
      <c r="B1006" s="532">
        <v>2.7000000000000001E-3</v>
      </c>
      <c r="C1006" s="640">
        <v>1.0425968699999999</v>
      </c>
    </row>
    <row r="1007" spans="1:3">
      <c r="A1007" s="531">
        <v>44651</v>
      </c>
      <c r="B1007" s="532">
        <v>2.8999999999999998E-3</v>
      </c>
      <c r="C1007" s="640">
        <v>1.0426046899999999</v>
      </c>
    </row>
    <row r="1008" spans="1:3">
      <c r="A1008" s="531">
        <v>44652</v>
      </c>
      <c r="B1008" s="532">
        <v>3.0000000000000001E-3</v>
      </c>
      <c r="C1008" s="640">
        <v>1.0426130899999999</v>
      </c>
    </row>
    <row r="1009" spans="1:3">
      <c r="A1009" s="531">
        <v>44655</v>
      </c>
      <c r="B1009" s="532">
        <v>3.0000000000000001E-3</v>
      </c>
      <c r="C1009" s="640">
        <v>1.0426391500000001</v>
      </c>
    </row>
    <row r="1010" spans="1:3">
      <c r="A1010" s="531">
        <v>44656</v>
      </c>
      <c r="B1010" s="532">
        <v>3.0000000000000001E-3</v>
      </c>
      <c r="C1010" s="640">
        <v>1.0426478400000001</v>
      </c>
    </row>
    <row r="1011" spans="1:3">
      <c r="A1011" s="531">
        <v>44657</v>
      </c>
      <c r="B1011" s="532">
        <v>3.0000000000000001E-3</v>
      </c>
      <c r="C1011" s="640">
        <v>1.0426565299999999</v>
      </c>
    </row>
    <row r="1012" spans="1:3">
      <c r="A1012" s="531">
        <v>44658</v>
      </c>
      <c r="B1012" s="532">
        <v>3.0000000000000001E-3</v>
      </c>
      <c r="C1012" s="640">
        <v>1.0426652199999999</v>
      </c>
    </row>
    <row r="1013" spans="1:3">
      <c r="A1013" s="531">
        <v>44659</v>
      </c>
      <c r="B1013" s="532">
        <v>3.0000000000000001E-3</v>
      </c>
      <c r="C1013" s="640">
        <v>1.04267391</v>
      </c>
    </row>
    <row r="1014" spans="1:3">
      <c r="A1014" s="531">
        <v>44662</v>
      </c>
      <c r="B1014" s="532">
        <v>3.0000000000000001E-3</v>
      </c>
      <c r="C1014" s="640">
        <v>1.0426999699999999</v>
      </c>
    </row>
    <row r="1015" spans="1:3">
      <c r="A1015" s="531">
        <v>44663</v>
      </c>
      <c r="B1015" s="532">
        <v>2.8999999999999998E-3</v>
      </c>
      <c r="C1015" s="640">
        <v>1.04270866</v>
      </c>
    </row>
    <row r="1016" spans="1:3">
      <c r="A1016" s="531">
        <v>44664</v>
      </c>
      <c r="B1016" s="532">
        <v>2.8999999999999998E-3</v>
      </c>
      <c r="C1016" s="640">
        <v>1.04271706</v>
      </c>
    </row>
    <row r="1017" spans="1:3">
      <c r="A1017" s="531">
        <v>44665</v>
      </c>
      <c r="B1017" s="532">
        <v>2.8999999999999998E-3</v>
      </c>
      <c r="C1017" s="640">
        <v>1.04272546</v>
      </c>
    </row>
    <row r="1018" spans="1:3">
      <c r="A1018" s="531">
        <v>44669</v>
      </c>
      <c r="B1018" s="532">
        <v>2.8999999999999998E-3</v>
      </c>
      <c r="C1018" s="640">
        <v>1.0427590600000001</v>
      </c>
    </row>
    <row r="1019" spans="1:3">
      <c r="A1019" s="531">
        <v>44670</v>
      </c>
      <c r="B1019" s="532">
        <v>2.8000000000000004E-3</v>
      </c>
      <c r="C1019" s="640">
        <v>1.0427674600000001</v>
      </c>
    </row>
    <row r="1020" spans="1:3">
      <c r="A1020" s="531">
        <v>44671</v>
      </c>
      <c r="B1020" s="532">
        <v>2.7000000000000001E-3</v>
      </c>
      <c r="C1020" s="640">
        <v>1.0427755700000001</v>
      </c>
    </row>
    <row r="1021" spans="1:3">
      <c r="A1021" s="531">
        <v>44672</v>
      </c>
      <c r="B1021" s="532">
        <v>2.5999999999999999E-3</v>
      </c>
      <c r="C1021" s="640">
        <v>1.0427833900000001</v>
      </c>
    </row>
    <row r="1022" spans="1:3">
      <c r="A1022" s="531">
        <v>44673</v>
      </c>
      <c r="B1022" s="532">
        <v>2.7000000000000001E-3</v>
      </c>
      <c r="C1022" s="640">
        <v>1.0427909200000001</v>
      </c>
    </row>
    <row r="1023" spans="1:3">
      <c r="A1023" s="531">
        <v>44676</v>
      </c>
      <c r="B1023" s="532">
        <v>2.7000000000000001E-3</v>
      </c>
      <c r="C1023" s="640">
        <v>1.04281438</v>
      </c>
    </row>
    <row r="1024" spans="1:3">
      <c r="A1024" s="531">
        <v>44677</v>
      </c>
      <c r="B1024" s="532">
        <v>2.7000000000000001E-3</v>
      </c>
      <c r="C1024" s="640">
        <v>1.04282221</v>
      </c>
    </row>
    <row r="1025" spans="1:3">
      <c r="A1025" s="531">
        <v>44678</v>
      </c>
      <c r="B1025" s="532">
        <v>2.8000000000000004E-3</v>
      </c>
      <c r="C1025" s="640">
        <v>1.04283003</v>
      </c>
    </row>
    <row r="1026" spans="1:3">
      <c r="A1026" s="531">
        <v>44679</v>
      </c>
      <c r="B1026" s="532">
        <v>2.8000000000000004E-3</v>
      </c>
      <c r="C1026" s="640">
        <v>1.04283814</v>
      </c>
    </row>
    <row r="1027" spans="1:3">
      <c r="A1027" s="531">
        <v>44680</v>
      </c>
      <c r="B1027" s="532">
        <v>2.8000000000000004E-3</v>
      </c>
      <c r="C1027" s="640">
        <v>1.04284625</v>
      </c>
    </row>
    <row r="1028" spans="1:3">
      <c r="A1028" s="531">
        <v>44683</v>
      </c>
      <c r="B1028" s="532">
        <v>3.0000000000000001E-3</v>
      </c>
      <c r="C1028" s="640">
        <v>1.04287058</v>
      </c>
    </row>
    <row r="1029" spans="1:3">
      <c r="A1029" s="531">
        <v>44684</v>
      </c>
      <c r="B1029" s="532">
        <v>3.0000000000000001E-3</v>
      </c>
      <c r="C1029" s="640">
        <v>1.04287927</v>
      </c>
    </row>
    <row r="1030" spans="1:3">
      <c r="A1030" s="531">
        <v>44685</v>
      </c>
      <c r="B1030" s="532">
        <v>3.0000000000000001E-3</v>
      </c>
      <c r="C1030" s="640">
        <v>1.0428879600000001</v>
      </c>
    </row>
    <row r="1031" spans="1:3">
      <c r="A1031" s="531">
        <v>44686</v>
      </c>
      <c r="B1031" s="532">
        <v>7.9000000000000008E-3</v>
      </c>
      <c r="C1031" s="640">
        <v>1.0428966500000001</v>
      </c>
    </row>
    <row r="1032" spans="1:3">
      <c r="A1032" s="531">
        <v>44687</v>
      </c>
      <c r="B1032" s="532">
        <v>7.8000000000000005E-3</v>
      </c>
      <c r="C1032" s="640">
        <v>1.04291954</v>
      </c>
    </row>
    <row r="1033" spans="1:3">
      <c r="A1033" s="531">
        <v>44690</v>
      </c>
      <c r="B1033" s="532">
        <v>7.8000000000000005E-3</v>
      </c>
      <c r="C1033" s="640">
        <v>1.0429873300000001</v>
      </c>
    </row>
    <row r="1034" spans="1:3">
      <c r="A1034" s="531">
        <v>44691</v>
      </c>
      <c r="B1034" s="532">
        <v>7.8000000000000005E-3</v>
      </c>
      <c r="C1034" s="640">
        <v>1.04300993</v>
      </c>
    </row>
    <row r="1035" spans="1:3">
      <c r="A1035" s="531">
        <v>44692</v>
      </c>
      <c r="B1035" s="532">
        <v>7.8000000000000005E-3</v>
      </c>
      <c r="C1035" s="640">
        <v>1.0430325300000001</v>
      </c>
    </row>
    <row r="1036" spans="1:3">
      <c r="A1036" s="531">
        <v>44693</v>
      </c>
      <c r="B1036" s="532">
        <v>7.9000000000000008E-3</v>
      </c>
      <c r="C1036" s="640">
        <v>1.0430551299999999</v>
      </c>
    </row>
    <row r="1037" spans="1:3">
      <c r="A1037" s="531">
        <v>44694</v>
      </c>
      <c r="B1037" s="532">
        <v>7.9000000000000008E-3</v>
      </c>
      <c r="C1037" s="640">
        <v>1.0430780100000001</v>
      </c>
    </row>
    <row r="1038" spans="1:3">
      <c r="A1038" s="653">
        <v>44696</v>
      </c>
      <c r="B1038" s="654"/>
      <c r="C1038" s="655">
        <f>ROUND(C1037*(1+(B1036/360*(A1038-A1037))),8)</f>
        <v>1.0431237900000001</v>
      </c>
    </row>
    <row r="1039" spans="1:3">
      <c r="A1039" s="531">
        <v>44697</v>
      </c>
      <c r="B1039" s="532">
        <v>8.0000000000000002E-3</v>
      </c>
      <c r="C1039" s="640">
        <v>1.04314668</v>
      </c>
    </row>
    <row r="1040" spans="1:3">
      <c r="A1040" s="531">
        <v>44698</v>
      </c>
      <c r="B1040" s="532">
        <v>8.0000000000000002E-3</v>
      </c>
      <c r="C1040" s="640">
        <v>1.0431698599999999</v>
      </c>
    </row>
    <row r="1041" spans="1:3">
      <c r="A1041" s="531">
        <v>44699</v>
      </c>
      <c r="B1041" s="532">
        <v>7.9000000000000008E-3</v>
      </c>
      <c r="C1041" s="640">
        <v>1.04319305</v>
      </c>
    </row>
    <row r="1042" spans="1:3">
      <c r="A1042" s="531">
        <v>44700</v>
      </c>
      <c r="B1042" s="532">
        <v>7.9000000000000008E-3</v>
      </c>
      <c r="C1042" s="640">
        <v>1.0432159400000001</v>
      </c>
    </row>
    <row r="1043" spans="1:3">
      <c r="A1043" s="531">
        <v>44701</v>
      </c>
      <c r="B1043" s="532">
        <v>7.8000000000000005E-3</v>
      </c>
      <c r="C1043" s="640">
        <v>1.04323883</v>
      </c>
    </row>
    <row r="1044" spans="1:3">
      <c r="A1044" s="531">
        <v>44704</v>
      </c>
      <c r="B1044" s="532">
        <v>7.8000000000000005E-3</v>
      </c>
      <c r="C1044" s="640">
        <v>1.04330664</v>
      </c>
    </row>
    <row r="1045" spans="1:3">
      <c r="A1045" s="531">
        <v>44705</v>
      </c>
      <c r="B1045" s="532">
        <v>7.8000000000000005E-3</v>
      </c>
      <c r="C1045" s="640">
        <v>1.04332925</v>
      </c>
    </row>
    <row r="1046" spans="1:3">
      <c r="A1046" s="531">
        <v>44706</v>
      </c>
      <c r="B1046" s="532">
        <v>7.8000000000000005E-3</v>
      </c>
      <c r="C1046" s="640">
        <v>1.0433518500000001</v>
      </c>
    </row>
    <row r="1047" spans="1:3">
      <c r="A1047" s="531">
        <v>44707</v>
      </c>
      <c r="B1047" s="532">
        <v>7.8000000000000005E-3</v>
      </c>
      <c r="C1047" s="640">
        <v>1.0433744599999999</v>
      </c>
    </row>
    <row r="1048" spans="1:3">
      <c r="A1048" s="531">
        <v>44708</v>
      </c>
      <c r="B1048" s="532">
        <v>7.8000000000000005E-3</v>
      </c>
      <c r="C1048" s="640">
        <v>1.04339706</v>
      </c>
    </row>
    <row r="1049" spans="1:3">
      <c r="A1049" s="531">
        <v>44712</v>
      </c>
      <c r="B1049" s="532">
        <v>7.9000000000000008E-3</v>
      </c>
      <c r="C1049" s="640">
        <v>1.04348749</v>
      </c>
    </row>
    <row r="1050" spans="1:3">
      <c r="A1050" s="531">
        <v>44713</v>
      </c>
      <c r="B1050" s="532">
        <v>8.0000000000000002E-3</v>
      </c>
      <c r="C1050" s="640">
        <v>1.04351039</v>
      </c>
    </row>
    <row r="1051" spans="1:3">
      <c r="A1051" s="531">
        <v>44714</v>
      </c>
      <c r="B1051" s="532">
        <v>7.9000000000000008E-3</v>
      </c>
      <c r="C1051" s="640">
        <v>1.0435335800000001</v>
      </c>
    </row>
    <row r="1052" spans="1:3">
      <c r="A1052" s="531">
        <v>44715</v>
      </c>
      <c r="B1052" s="532">
        <v>7.8000000000000005E-3</v>
      </c>
      <c r="C1052" s="640">
        <v>1.0435564799999999</v>
      </c>
    </row>
    <row r="1053" spans="1:3">
      <c r="A1053" s="531">
        <v>44718</v>
      </c>
      <c r="B1053" s="532">
        <v>7.8000000000000005E-3</v>
      </c>
      <c r="C1053" s="640">
        <v>1.04362431</v>
      </c>
    </row>
    <row r="1054" spans="1:3">
      <c r="A1054" s="531">
        <v>44719</v>
      </c>
      <c r="B1054" s="532">
        <v>7.7000000000000002E-3</v>
      </c>
      <c r="C1054" s="640">
        <v>1.04364692</v>
      </c>
    </row>
    <row r="1055" spans="1:3">
      <c r="A1055" s="531">
        <v>44720</v>
      </c>
      <c r="B1055" s="532">
        <v>7.6E-3</v>
      </c>
      <c r="C1055" s="640">
        <v>1.04366925</v>
      </c>
    </row>
    <row r="1056" spans="1:3">
      <c r="A1056" s="531">
        <v>44721</v>
      </c>
      <c r="B1056" s="532">
        <v>7.4999999999999997E-3</v>
      </c>
      <c r="C1056" s="640">
        <v>1.04369128</v>
      </c>
    </row>
    <row r="1057" spans="1:3">
      <c r="A1057" s="531">
        <v>44722</v>
      </c>
      <c r="B1057" s="532">
        <v>7.4999999999999997E-3</v>
      </c>
      <c r="C1057" s="640">
        <v>1.04371302</v>
      </c>
    </row>
    <row r="1058" spans="1:3">
      <c r="A1058" s="531">
        <v>44725</v>
      </c>
      <c r="B1058" s="532">
        <v>7.3000000000000001E-3</v>
      </c>
      <c r="C1058" s="640">
        <v>1.0437782499999999</v>
      </c>
    </row>
    <row r="1059" spans="1:3">
      <c r="A1059" s="531">
        <v>44726</v>
      </c>
      <c r="B1059" s="532">
        <v>6.8999999999999999E-3</v>
      </c>
      <c r="C1059" s="640">
        <v>1.04379942</v>
      </c>
    </row>
    <row r="1060" spans="1:3">
      <c r="A1060" s="531">
        <v>44727</v>
      </c>
      <c r="B1060" s="532">
        <v>6.9999999999999993E-3</v>
      </c>
      <c r="C1060" s="640">
        <v>1.0438194300000001</v>
      </c>
    </row>
    <row r="1061" spans="1:3">
      <c r="A1061" s="531">
        <v>44728</v>
      </c>
      <c r="B1061" s="532">
        <v>1.4499999999999999E-2</v>
      </c>
      <c r="C1061" s="640">
        <v>1.04383972</v>
      </c>
    </row>
    <row r="1062" spans="1:3">
      <c r="A1062" s="531">
        <v>44729</v>
      </c>
      <c r="B1062" s="532">
        <v>1.4499999999999999E-2</v>
      </c>
      <c r="C1062" s="640">
        <v>1.04388177</v>
      </c>
    </row>
    <row r="1063" spans="1:3">
      <c r="A1063" s="531">
        <v>44733</v>
      </c>
      <c r="B1063" s="532">
        <v>1.4499999999999999E-2</v>
      </c>
      <c r="C1063" s="640">
        <v>1.04404995</v>
      </c>
    </row>
    <row r="1064" spans="1:3">
      <c r="A1064" s="531">
        <v>44734</v>
      </c>
      <c r="B1064" s="532">
        <v>1.4499999999999999E-2</v>
      </c>
      <c r="C1064" s="640">
        <v>1.044092</v>
      </c>
    </row>
    <row r="1065" spans="1:3">
      <c r="A1065" s="531">
        <v>44735</v>
      </c>
      <c r="B1065" s="532">
        <v>1.44E-2</v>
      </c>
      <c r="C1065" s="640">
        <v>1.04413405</v>
      </c>
    </row>
    <row r="1066" spans="1:3">
      <c r="A1066" s="531">
        <v>44736</v>
      </c>
      <c r="B1066" s="532">
        <v>1.46E-2</v>
      </c>
      <c r="C1066" s="640">
        <v>1.04417582</v>
      </c>
    </row>
    <row r="1067" spans="1:3">
      <c r="A1067" s="531">
        <v>44739</v>
      </c>
      <c r="B1067" s="532">
        <v>1.4999999999999999E-2</v>
      </c>
      <c r="C1067" s="640">
        <v>1.0443028599999999</v>
      </c>
    </row>
    <row r="1068" spans="1:3">
      <c r="A1068" s="531">
        <v>44740</v>
      </c>
      <c r="B1068" s="532">
        <v>1.52E-2</v>
      </c>
      <c r="C1068" s="640">
        <v>1.04434637</v>
      </c>
    </row>
    <row r="1069" spans="1:3">
      <c r="A1069" s="531">
        <v>44741</v>
      </c>
      <c r="B1069" s="532">
        <v>1.5100000000000001E-2</v>
      </c>
      <c r="C1069" s="640">
        <v>1.04439047</v>
      </c>
    </row>
    <row r="1070" spans="1:3">
      <c r="A1070" s="531">
        <v>44742</v>
      </c>
      <c r="B1070" s="532">
        <v>1.4999999999999999E-2</v>
      </c>
      <c r="C1070" s="640">
        <v>1.04443427</v>
      </c>
    </row>
    <row r="1071" spans="1:3">
      <c r="A1071" s="531">
        <v>44743</v>
      </c>
      <c r="B1071" s="532">
        <v>1.52E-2</v>
      </c>
      <c r="C1071" s="640">
        <v>1.04447779</v>
      </c>
    </row>
    <row r="1072" spans="1:3">
      <c r="A1072" s="531">
        <v>44747</v>
      </c>
      <c r="B1072" s="532">
        <v>1.54E-2</v>
      </c>
      <c r="C1072" s="640">
        <v>1.0446541899999999</v>
      </c>
    </row>
    <row r="1073" spans="1:3">
      <c r="A1073" s="531">
        <v>44748</v>
      </c>
      <c r="B1073" s="532">
        <v>1.54E-2</v>
      </c>
      <c r="C1073" s="640">
        <v>1.0446988800000001</v>
      </c>
    </row>
    <row r="1074" spans="1:3">
      <c r="A1074" s="531">
        <v>44749</v>
      </c>
      <c r="B1074" s="532">
        <v>1.54E-2</v>
      </c>
      <c r="C1074" s="640">
        <v>1.0447435700000001</v>
      </c>
    </row>
    <row r="1075" spans="1:3">
      <c r="A1075" s="531">
        <v>44750</v>
      </c>
      <c r="B1075" s="532">
        <v>1.5300000000000001E-2</v>
      </c>
      <c r="C1075" s="640">
        <v>1.04478826</v>
      </c>
    </row>
    <row r="1076" spans="1:3">
      <c r="A1076" s="531">
        <v>44753</v>
      </c>
      <c r="B1076" s="532">
        <v>1.5300000000000001E-2</v>
      </c>
      <c r="C1076" s="640">
        <v>1.04492147</v>
      </c>
    </row>
    <row r="1077" spans="1:3">
      <c r="A1077" s="531">
        <v>44754</v>
      </c>
      <c r="B1077" s="532">
        <v>1.54E-2</v>
      </c>
      <c r="C1077" s="640">
        <v>1.0449658799999999</v>
      </c>
    </row>
    <row r="1078" spans="1:3">
      <c r="A1078" s="531">
        <v>44755</v>
      </c>
      <c r="B1078" s="532">
        <v>1.5300000000000001E-2</v>
      </c>
      <c r="C1078" s="640">
        <v>1.04501058</v>
      </c>
    </row>
    <row r="1079" spans="1:3">
      <c r="A1079" s="531">
        <v>44756</v>
      </c>
      <c r="B1079" s="532">
        <v>1.5300000000000001E-2</v>
      </c>
      <c r="C1079" s="640">
        <v>1.0450550000000001</v>
      </c>
    </row>
    <row r="1080" spans="1:3">
      <c r="A1080" s="531">
        <v>44757</v>
      </c>
      <c r="B1080" s="532">
        <v>1.54E-2</v>
      </c>
      <c r="C1080" s="640">
        <v>1.04509941</v>
      </c>
    </row>
    <row r="1081" spans="1:3">
      <c r="A1081" s="531">
        <v>44760</v>
      </c>
      <c r="B1081" s="532">
        <v>1.54E-2</v>
      </c>
      <c r="C1081" s="640">
        <v>1.04523353</v>
      </c>
    </row>
    <row r="1082" spans="1:3">
      <c r="A1082" s="531">
        <v>44761</v>
      </c>
      <c r="B1082" s="532">
        <v>1.54E-2</v>
      </c>
      <c r="C1082" s="640">
        <v>1.04527824</v>
      </c>
    </row>
    <row r="1083" spans="1:3">
      <c r="A1083" s="531">
        <v>44762</v>
      </c>
      <c r="B1083" s="532">
        <v>1.5300000000000001E-2</v>
      </c>
      <c r="C1083" s="640">
        <v>1.04532296</v>
      </c>
    </row>
    <row r="1084" spans="1:3">
      <c r="A1084" s="531">
        <v>44763</v>
      </c>
      <c r="B1084" s="532">
        <v>1.5300000000000001E-2</v>
      </c>
      <c r="C1084" s="640">
        <v>1.04536739</v>
      </c>
    </row>
    <row r="1085" spans="1:3">
      <c r="A1085" s="531">
        <v>44764</v>
      </c>
      <c r="B1085" s="532">
        <v>1.52E-2</v>
      </c>
      <c r="C1085" s="640">
        <v>1.0454118100000001</v>
      </c>
    </row>
    <row r="1086" spans="1:3">
      <c r="A1086" s="531">
        <v>44767</v>
      </c>
      <c r="B1086" s="532">
        <v>1.5300000000000001E-2</v>
      </c>
      <c r="C1086" s="640">
        <v>1.04554423</v>
      </c>
    </row>
    <row r="1087" spans="1:3">
      <c r="A1087" s="531">
        <v>44768</v>
      </c>
      <c r="B1087" s="532">
        <v>1.5300000000000001E-2</v>
      </c>
      <c r="C1087" s="640">
        <v>1.0455886700000001</v>
      </c>
    </row>
    <row r="1088" spans="1:3">
      <c r="A1088" s="531">
        <v>44769</v>
      </c>
      <c r="B1088" s="532">
        <v>1.5300000000000001E-2</v>
      </c>
      <c r="C1088" s="640">
        <v>1.04563311</v>
      </c>
    </row>
    <row r="1089" spans="1:3">
      <c r="A1089" s="531">
        <v>44770</v>
      </c>
      <c r="B1089" s="532">
        <v>2.2799999999999997E-2</v>
      </c>
      <c r="C1089" s="640">
        <v>1.04567754</v>
      </c>
    </row>
    <row r="1090" spans="1:3">
      <c r="A1090" s="531">
        <v>44771</v>
      </c>
      <c r="B1090" s="532">
        <v>2.2700000000000001E-2</v>
      </c>
      <c r="C1090" s="640">
        <v>1.0457437700000001</v>
      </c>
    </row>
    <row r="1091" spans="1:3">
      <c r="A1091" s="531">
        <v>44774</v>
      </c>
      <c r="B1091" s="532">
        <v>2.2799999999999997E-2</v>
      </c>
      <c r="C1091" s="640">
        <v>1.04594159</v>
      </c>
    </row>
    <row r="1092" spans="1:3">
      <c r="A1092" s="531">
        <v>44775</v>
      </c>
      <c r="B1092" s="532">
        <v>2.3E-2</v>
      </c>
      <c r="C1092" s="640">
        <v>1.04600783</v>
      </c>
    </row>
    <row r="1093" spans="1:3">
      <c r="A1093" s="531">
        <v>44776</v>
      </c>
      <c r="B1093" s="532">
        <v>2.29E-2</v>
      </c>
      <c r="C1093" s="640">
        <v>1.0460746599999999</v>
      </c>
    </row>
    <row r="1094" spans="1:3">
      <c r="A1094" s="531">
        <v>44777</v>
      </c>
      <c r="B1094" s="532">
        <v>2.29E-2</v>
      </c>
      <c r="C1094" s="640">
        <v>1.0461412000000001</v>
      </c>
    </row>
    <row r="1095" spans="1:3">
      <c r="A1095" s="531">
        <v>44778</v>
      </c>
      <c r="B1095" s="532">
        <v>2.2799999999999997E-2</v>
      </c>
      <c r="C1095" s="640">
        <v>1.04620775</v>
      </c>
    </row>
    <row r="1096" spans="1:3">
      <c r="A1096" s="531">
        <v>44781</v>
      </c>
      <c r="B1096" s="532">
        <v>2.2799999999999997E-2</v>
      </c>
      <c r="C1096" s="640">
        <v>1.0464065300000001</v>
      </c>
    </row>
    <row r="1097" spans="1:3">
      <c r="A1097" s="531">
        <v>44782</v>
      </c>
      <c r="B1097" s="532">
        <v>2.29E-2</v>
      </c>
      <c r="C1097" s="640">
        <v>1.0464728000000001</v>
      </c>
    </row>
    <row r="1098" spans="1:3">
      <c r="A1098" s="531">
        <v>44783</v>
      </c>
      <c r="B1098" s="532">
        <v>2.2799999999999997E-2</v>
      </c>
      <c r="C1098" s="640">
        <v>1.0465393700000001</v>
      </c>
    </row>
    <row r="1099" spans="1:3">
      <c r="A1099" s="531">
        <v>44784</v>
      </c>
      <c r="B1099" s="532">
        <v>2.2799999999999997E-2</v>
      </c>
      <c r="C1099" s="640">
        <v>1.0466056500000001</v>
      </c>
    </row>
    <row r="1100" spans="1:3">
      <c r="A1100" s="531">
        <v>44785</v>
      </c>
      <c r="B1100" s="532">
        <v>2.2799999999999997E-2</v>
      </c>
      <c r="C1100" s="640">
        <v>1.04667194</v>
      </c>
    </row>
    <row r="1101" spans="1:3">
      <c r="A1101" s="531">
        <v>44788</v>
      </c>
      <c r="B1101" s="532">
        <v>2.29E-2</v>
      </c>
      <c r="C1101" s="640">
        <v>1.0468708</v>
      </c>
    </row>
    <row r="1102" spans="1:3">
      <c r="A1102" s="531">
        <v>44789</v>
      </c>
      <c r="B1102" s="532">
        <v>2.29E-2</v>
      </c>
      <c r="C1102" s="640">
        <v>1.0469374</v>
      </c>
    </row>
    <row r="1103" spans="1:3">
      <c r="A1103" s="531">
        <v>44790</v>
      </c>
      <c r="B1103" s="532">
        <v>2.29E-2</v>
      </c>
      <c r="C1103" s="640">
        <v>1.0470039900000001</v>
      </c>
    </row>
    <row r="1104" spans="1:3">
      <c r="A1104" s="531">
        <v>44791</v>
      </c>
      <c r="B1104" s="532">
        <v>2.2799999999999997E-2</v>
      </c>
      <c r="C1104" s="640">
        <v>1.0470705899999999</v>
      </c>
    </row>
    <row r="1105" spans="1:3">
      <c r="A1105" s="531">
        <v>44792</v>
      </c>
      <c r="B1105" s="532">
        <v>2.2799999999999997E-2</v>
      </c>
      <c r="C1105" s="640">
        <v>1.0471369100000001</v>
      </c>
    </row>
    <row r="1106" spans="1:3">
      <c r="A1106" s="531">
        <v>44795</v>
      </c>
      <c r="B1106" s="532">
        <v>2.2799999999999997E-2</v>
      </c>
      <c r="C1106" s="640">
        <v>1.04733586</v>
      </c>
    </row>
    <row r="1107" spans="1:3">
      <c r="A1107" s="531">
        <v>44796</v>
      </c>
      <c r="B1107" s="532">
        <v>2.2700000000000001E-2</v>
      </c>
      <c r="C1107" s="640">
        <v>1.0474022000000001</v>
      </c>
    </row>
    <row r="1108" spans="1:3">
      <c r="A1108" s="531">
        <v>44797</v>
      </c>
      <c r="B1108" s="532">
        <v>2.2700000000000001E-2</v>
      </c>
      <c r="C1108" s="640">
        <v>1.0474682399999999</v>
      </c>
    </row>
    <row r="1109" spans="1:3">
      <c r="A1109" s="531">
        <v>44798</v>
      </c>
      <c r="B1109" s="532">
        <v>2.2799999999999997E-2</v>
      </c>
      <c r="C1109" s="640">
        <v>1.04753429</v>
      </c>
    </row>
    <row r="1110" spans="1:3">
      <c r="A1110" s="531">
        <v>44799</v>
      </c>
      <c r="B1110" s="532">
        <v>2.2799999999999997E-2</v>
      </c>
      <c r="C1110" s="640">
        <v>1.04760063</v>
      </c>
    </row>
    <row r="1111" spans="1:3">
      <c r="A1111" s="531">
        <v>44802</v>
      </c>
      <c r="B1111" s="532">
        <v>2.2799999999999997E-2</v>
      </c>
      <c r="C1111" s="640">
        <v>1.04779968</v>
      </c>
    </row>
    <row r="1112" spans="1:3">
      <c r="A1112" s="531">
        <v>44803</v>
      </c>
      <c r="B1112" s="532">
        <v>2.29E-2</v>
      </c>
      <c r="C1112" s="640">
        <v>1.0478660399999999</v>
      </c>
    </row>
    <row r="1113" spans="1:3">
      <c r="A1113" s="531">
        <v>44804</v>
      </c>
      <c r="B1113" s="532">
        <v>2.29E-2</v>
      </c>
      <c r="C1113" s="640">
        <v>1.0479326900000001</v>
      </c>
    </row>
    <row r="1114" spans="1:3">
      <c r="A1114" s="531">
        <v>44805</v>
      </c>
      <c r="B1114" s="532">
        <v>2.29E-2</v>
      </c>
      <c r="C1114" s="640">
        <v>1.04799935</v>
      </c>
    </row>
    <row r="1115" spans="1:3">
      <c r="A1115" s="531">
        <v>44806</v>
      </c>
      <c r="B1115" s="532">
        <v>2.29E-2</v>
      </c>
      <c r="C1115" s="640">
        <v>1.04806602</v>
      </c>
    </row>
    <row r="1116" spans="1:3">
      <c r="A1116" s="531">
        <v>44810</v>
      </c>
      <c r="B1116" s="532">
        <v>2.29E-2</v>
      </c>
      <c r="C1116" s="640">
        <v>1.0483326900000001</v>
      </c>
    </row>
    <row r="1117" spans="1:3">
      <c r="A1117" s="531">
        <v>44811</v>
      </c>
      <c r="B1117" s="532">
        <v>2.2799999999999997E-2</v>
      </c>
      <c r="C1117" s="640">
        <v>1.04839938</v>
      </c>
    </row>
    <row r="1118" spans="1:3">
      <c r="A1118" s="531">
        <v>44812</v>
      </c>
      <c r="B1118" s="532">
        <v>2.2799999999999997E-2</v>
      </c>
      <c r="C1118" s="640">
        <v>1.0484657799999999</v>
      </c>
    </row>
    <row r="1119" spans="1:3">
      <c r="A1119" s="531">
        <v>44813</v>
      </c>
      <c r="B1119" s="532">
        <v>2.2799999999999997E-2</v>
      </c>
      <c r="C1119" s="640">
        <v>1.04853218</v>
      </c>
    </row>
    <row r="1120" spans="1:3">
      <c r="A1120" s="531">
        <v>44816</v>
      </c>
      <c r="B1120" s="532">
        <v>2.2799999999999997E-2</v>
      </c>
      <c r="C1120" s="640">
        <v>1.0487314000000001</v>
      </c>
    </row>
    <row r="1121" spans="1:3">
      <c r="A1121" s="531">
        <v>44817</v>
      </c>
      <c r="B1121" s="532">
        <v>2.2799999999999997E-2</v>
      </c>
      <c r="C1121" s="640">
        <v>1.0487978200000001</v>
      </c>
    </row>
    <row r="1122" spans="1:3">
      <c r="A1122" s="531">
        <v>44818</v>
      </c>
      <c r="B1122" s="532">
        <v>2.2700000000000001E-2</v>
      </c>
      <c r="C1122" s="640">
        <v>1.0488642399999999</v>
      </c>
    </row>
    <row r="1123" spans="1:3">
      <c r="A1123" s="531">
        <v>44819</v>
      </c>
      <c r="B1123" s="532">
        <v>2.2799999999999997E-2</v>
      </c>
      <c r="C1123" s="640">
        <v>1.0489303800000001</v>
      </c>
    </row>
    <row r="1124" spans="1:3">
      <c r="A1124" s="531">
        <v>44820</v>
      </c>
      <c r="B1124" s="532">
        <v>2.2700000000000001E-2</v>
      </c>
      <c r="C1124" s="640">
        <v>1.04899681</v>
      </c>
    </row>
    <row r="1125" spans="1:3">
      <c r="A1125" s="531">
        <v>44823</v>
      </c>
      <c r="B1125" s="532">
        <v>2.2700000000000001E-2</v>
      </c>
      <c r="C1125" s="640">
        <v>1.0491952499999999</v>
      </c>
    </row>
    <row r="1126" spans="1:3">
      <c r="A1126" s="531">
        <v>44824</v>
      </c>
      <c r="B1126" s="532">
        <v>2.2599999999999999E-2</v>
      </c>
      <c r="C1126" s="640">
        <v>1.0492614099999999</v>
      </c>
    </row>
    <row r="1127" spans="1:3">
      <c r="A1127" s="531">
        <v>44825</v>
      </c>
      <c r="B1127" s="532">
        <v>2.2499999999999999E-2</v>
      </c>
      <c r="C1127" s="640">
        <v>1.04932728</v>
      </c>
    </row>
    <row r="1128" spans="1:3">
      <c r="A1128" s="531">
        <v>44826</v>
      </c>
      <c r="B1128" s="532">
        <v>2.9900000000000003E-2</v>
      </c>
      <c r="C1128" s="640">
        <v>1.04939286</v>
      </c>
    </row>
    <row r="1129" spans="1:3">
      <c r="A1129" s="531">
        <v>44827</v>
      </c>
      <c r="B1129" s="532">
        <v>2.9900000000000003E-2</v>
      </c>
      <c r="C1129" s="640">
        <v>1.0494800200000001</v>
      </c>
    </row>
    <row r="1130" spans="1:3">
      <c r="A1130" s="531">
        <v>44830</v>
      </c>
      <c r="B1130" s="532">
        <v>2.9900000000000003E-2</v>
      </c>
      <c r="C1130" s="640">
        <v>1.04974151</v>
      </c>
    </row>
    <row r="1131" spans="1:3">
      <c r="A1131" s="531">
        <v>44831</v>
      </c>
      <c r="B1131" s="532">
        <v>2.98E-2</v>
      </c>
      <c r="C1131" s="640">
        <v>1.0498286999999999</v>
      </c>
    </row>
    <row r="1132" spans="1:3">
      <c r="A1132" s="531">
        <v>44832</v>
      </c>
      <c r="B1132" s="532">
        <v>2.98E-2</v>
      </c>
      <c r="C1132" s="640">
        <v>1.0499156000000001</v>
      </c>
    </row>
    <row r="1133" spans="1:3">
      <c r="A1133" s="531">
        <v>44833</v>
      </c>
      <c r="B1133" s="532">
        <v>2.9600000000000001E-2</v>
      </c>
      <c r="C1133" s="640">
        <v>1.0500025100000001</v>
      </c>
    </row>
    <row r="1134" spans="1:3">
      <c r="A1134" s="531">
        <v>44834</v>
      </c>
      <c r="B1134" s="532">
        <v>2.98E-2</v>
      </c>
      <c r="C1134" s="640">
        <v>1.0500888399999999</v>
      </c>
    </row>
    <row r="1135" spans="1:3">
      <c r="A1135" s="531">
        <v>44837</v>
      </c>
      <c r="B1135" s="532">
        <v>0.03</v>
      </c>
      <c r="C1135" s="640">
        <v>1.05034962</v>
      </c>
    </row>
    <row r="1136" spans="1:3">
      <c r="A1136" s="531">
        <v>44838</v>
      </c>
      <c r="B1136" s="532">
        <v>3.04E-2</v>
      </c>
      <c r="C1136" s="640">
        <v>1.05043715</v>
      </c>
    </row>
    <row r="1137" spans="1:3">
      <c r="A1137" s="531">
        <v>44839</v>
      </c>
      <c r="B1137" s="532">
        <v>3.04E-2</v>
      </c>
      <c r="C1137" s="640">
        <v>1.0505258500000001</v>
      </c>
    </row>
    <row r="1138" spans="1:3">
      <c r="A1138" s="531">
        <v>44840</v>
      </c>
      <c r="B1138" s="532">
        <v>3.0499999999999999E-2</v>
      </c>
      <c r="C1138" s="640">
        <v>1.0506145600000001</v>
      </c>
    </row>
    <row r="1139" spans="1:3">
      <c r="A1139" s="531">
        <v>44840</v>
      </c>
      <c r="B1139" s="532"/>
      <c r="C1139" s="640">
        <v>1.05070357</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A8D80-7456-436D-99A2-59A7F73E5874}">
  <sheetPr>
    <tabColor theme="5" tint="-0.249977111117893"/>
  </sheetPr>
  <dimension ref="A1:V99"/>
  <sheetViews>
    <sheetView topLeftCell="I48" zoomScaleNormal="100" workbookViewId="0">
      <selection activeCell="M66" sqref="M66"/>
    </sheetView>
  </sheetViews>
  <sheetFormatPr defaultRowHeight="14.5"/>
  <cols>
    <col min="1" max="1" width="27.7265625" bestFit="1" customWidth="1"/>
    <col min="2" max="2" width="15.26953125" bestFit="1" customWidth="1"/>
    <col min="3" max="3" width="15.26953125" style="1" bestFit="1" customWidth="1"/>
    <col min="4" max="4" width="14.81640625" bestFit="1" customWidth="1"/>
    <col min="5" max="5" width="16.453125" bestFit="1" customWidth="1"/>
    <col min="6" max="6" width="19.1796875" bestFit="1" customWidth="1"/>
    <col min="7" max="7" width="9.26953125" customWidth="1"/>
    <col min="8" max="8" width="16" style="1" bestFit="1" customWidth="1"/>
    <col min="9" max="9" width="16.1796875" style="1" bestFit="1" customWidth="1"/>
    <col min="10" max="10" width="25.453125" customWidth="1"/>
    <col min="13" max="13" width="15.54296875" customWidth="1"/>
    <col min="14" max="14" width="14" customWidth="1"/>
    <col min="15" max="15" width="14.54296875" bestFit="1" customWidth="1"/>
    <col min="18" max="18" width="11.81640625" bestFit="1" customWidth="1"/>
    <col min="20" max="21" width="12.7265625" bestFit="1" customWidth="1"/>
  </cols>
  <sheetData>
    <row r="1" spans="1:22">
      <c r="A1" s="524" t="s">
        <v>224</v>
      </c>
      <c r="B1" s="6"/>
      <c r="C1" s="19"/>
      <c r="D1" s="6"/>
      <c r="E1" s="6"/>
      <c r="F1" s="6"/>
      <c r="G1" s="6"/>
      <c r="H1" s="19"/>
      <c r="I1" s="19"/>
      <c r="J1" s="6"/>
      <c r="K1" s="6"/>
      <c r="L1" s="6"/>
      <c r="M1" s="6"/>
      <c r="N1" s="6"/>
      <c r="O1" s="6"/>
      <c r="P1" s="6"/>
      <c r="Q1" s="6"/>
      <c r="R1" s="6"/>
      <c r="S1" s="6"/>
      <c r="T1" s="6"/>
      <c r="U1" s="6"/>
      <c r="V1" s="6"/>
    </row>
    <row r="2" spans="1:22">
      <c r="A2" s="6"/>
      <c r="B2" s="6"/>
      <c r="C2" s="19"/>
      <c r="D2" s="6"/>
      <c r="E2" s="6"/>
      <c r="F2" s="6"/>
      <c r="G2" s="6"/>
      <c r="H2" s="19"/>
      <c r="I2" s="19"/>
      <c r="J2" s="6"/>
      <c r="K2" s="6"/>
      <c r="L2" s="6"/>
      <c r="M2" s="6"/>
      <c r="N2" s="6"/>
      <c r="O2" s="6"/>
      <c r="P2" s="6"/>
      <c r="Q2" s="6"/>
      <c r="R2" s="6"/>
      <c r="S2" s="6"/>
      <c r="T2" s="6"/>
      <c r="U2" s="6"/>
      <c r="V2" s="6"/>
    </row>
    <row r="3" spans="1:22">
      <c r="A3" s="6"/>
      <c r="B3" s="6"/>
      <c r="C3" s="19"/>
      <c r="D3" s="6"/>
      <c r="E3" s="6"/>
      <c r="F3" s="6"/>
      <c r="G3" s="6"/>
      <c r="H3" s="19"/>
      <c r="I3" s="19"/>
      <c r="J3" s="6"/>
      <c r="K3" s="6"/>
      <c r="L3" s="6"/>
      <c r="M3" s="6"/>
      <c r="N3" s="6"/>
      <c r="O3" s="6"/>
      <c r="P3" s="6"/>
      <c r="Q3" s="6"/>
      <c r="R3" s="6"/>
      <c r="S3" s="6"/>
      <c r="T3" s="6"/>
      <c r="U3" s="6"/>
      <c r="V3" s="6"/>
    </row>
    <row r="4" spans="1:22">
      <c r="A4" s="229" t="s">
        <v>67</v>
      </c>
      <c r="B4" s="232">
        <f>E6</f>
        <v>100000000</v>
      </c>
      <c r="C4" s="19"/>
      <c r="D4" s="171" t="s">
        <v>4</v>
      </c>
      <c r="E4" s="171" t="s">
        <v>66</v>
      </c>
      <c r="F4" s="6"/>
      <c r="G4" s="6"/>
      <c r="H4" s="19"/>
      <c r="I4" s="19"/>
      <c r="J4" s="6"/>
      <c r="K4" s="6"/>
      <c r="L4" s="6"/>
      <c r="M4" s="6"/>
      <c r="N4" s="6"/>
      <c r="O4" s="6"/>
      <c r="P4" s="6"/>
      <c r="Q4" s="6"/>
      <c r="R4" s="6"/>
      <c r="S4" s="6"/>
      <c r="T4" s="6"/>
      <c r="U4" s="6"/>
      <c r="V4" s="6"/>
    </row>
    <row r="5" spans="1:22">
      <c r="A5" s="229" t="s">
        <v>92</v>
      </c>
      <c r="B5" s="230">
        <v>0.05</v>
      </c>
      <c r="C5" s="19"/>
      <c r="D5" s="196">
        <v>44788</v>
      </c>
      <c r="E5" s="197">
        <v>100000000</v>
      </c>
      <c r="F5" s="6"/>
      <c r="G5" s="6"/>
      <c r="H5" s="19"/>
      <c r="I5" s="19"/>
      <c r="J5" s="6"/>
      <c r="K5" s="6"/>
      <c r="L5" s="6"/>
      <c r="M5" s="6"/>
      <c r="N5" s="6"/>
      <c r="O5" s="6"/>
      <c r="P5" s="6"/>
      <c r="Q5" s="6"/>
      <c r="R5" s="6"/>
      <c r="S5" s="6"/>
      <c r="T5" s="6"/>
      <c r="U5" s="6"/>
      <c r="V5" s="6"/>
    </row>
    <row r="6" spans="1:22">
      <c r="A6" s="229" t="s">
        <v>109</v>
      </c>
      <c r="B6" s="233">
        <v>1</v>
      </c>
      <c r="C6" s="19"/>
      <c r="D6" s="198" t="s">
        <v>110</v>
      </c>
      <c r="E6" s="199">
        <f>E5</f>
        <v>100000000</v>
      </c>
      <c r="F6" s="6"/>
      <c r="G6" s="6"/>
      <c r="H6" s="19"/>
      <c r="I6" s="19"/>
      <c r="J6" s="6"/>
      <c r="K6" s="6"/>
      <c r="L6" s="6"/>
      <c r="M6" s="6"/>
      <c r="N6" s="6"/>
      <c r="O6" s="6"/>
      <c r="P6" s="6"/>
      <c r="Q6" s="6"/>
      <c r="R6" s="6"/>
      <c r="S6" s="6"/>
      <c r="T6" s="6"/>
      <c r="U6" s="6"/>
      <c r="V6" s="6"/>
    </row>
    <row r="7" spans="1:22">
      <c r="A7" s="229" t="s">
        <v>124</v>
      </c>
      <c r="B7" s="233" t="s">
        <v>190</v>
      </c>
      <c r="C7" s="19"/>
      <c r="D7" s="6"/>
      <c r="E7" s="6"/>
      <c r="F7" s="6"/>
      <c r="G7" s="6"/>
      <c r="H7" s="19"/>
      <c r="I7" s="19"/>
      <c r="J7" s="6"/>
      <c r="K7" s="6"/>
      <c r="L7" s="6"/>
      <c r="M7" s="6"/>
      <c r="N7" s="6"/>
      <c r="O7" s="6"/>
      <c r="P7" s="6"/>
      <c r="Q7" s="6"/>
      <c r="R7" s="6"/>
      <c r="S7" s="6"/>
      <c r="T7" s="6"/>
      <c r="U7" s="6"/>
      <c r="V7" s="6"/>
    </row>
    <row r="8" spans="1:22">
      <c r="A8" s="231" t="s">
        <v>112</v>
      </c>
      <c r="B8" s="234">
        <v>360</v>
      </c>
      <c r="C8" s="19"/>
      <c r="D8" s="6"/>
      <c r="E8" s="6"/>
      <c r="F8" s="6"/>
      <c r="G8" s="6"/>
      <c r="H8" s="19"/>
      <c r="I8" s="19"/>
      <c r="J8" s="6"/>
      <c r="K8" s="6"/>
      <c r="L8" s="6"/>
      <c r="M8" s="6"/>
      <c r="N8" s="6"/>
      <c r="O8" s="6"/>
      <c r="P8" s="6"/>
      <c r="Q8" s="6"/>
      <c r="R8" s="6"/>
      <c r="S8" s="6"/>
      <c r="T8" s="6"/>
      <c r="U8" s="6"/>
      <c r="V8" s="6"/>
    </row>
    <row r="9" spans="1:22">
      <c r="A9" s="231" t="s">
        <v>33</v>
      </c>
      <c r="B9" s="233" t="s">
        <v>114</v>
      </c>
      <c r="C9" s="19"/>
      <c r="D9" s="6"/>
      <c r="E9" s="6"/>
      <c r="F9" s="6"/>
      <c r="G9" s="6"/>
      <c r="H9" s="19"/>
      <c r="I9" s="19"/>
      <c r="J9" s="6"/>
      <c r="K9" s="6"/>
      <c r="L9" s="6"/>
      <c r="M9" s="6"/>
      <c r="N9" s="6"/>
      <c r="O9" s="6"/>
      <c r="P9" s="6"/>
      <c r="Q9" s="6"/>
      <c r="R9" s="6"/>
      <c r="S9" s="6"/>
      <c r="T9" s="6"/>
      <c r="U9" s="6"/>
      <c r="V9" s="6"/>
    </row>
    <row r="10" spans="1:22">
      <c r="A10" s="231" t="s">
        <v>115</v>
      </c>
      <c r="B10" s="235">
        <f>EDATE(D5,1)</f>
        <v>44819</v>
      </c>
      <c r="C10" s="19"/>
      <c r="D10" s="6"/>
      <c r="E10" s="6"/>
      <c r="F10" s="6"/>
      <c r="G10" s="6"/>
      <c r="H10" s="19"/>
      <c r="I10" s="19"/>
      <c r="J10" s="6"/>
      <c r="K10" s="6"/>
      <c r="L10" s="6"/>
      <c r="M10" s="6"/>
      <c r="N10" s="6"/>
      <c r="O10" s="6"/>
      <c r="P10" s="6"/>
      <c r="Q10" s="6"/>
      <c r="R10" s="6"/>
      <c r="S10" s="6"/>
      <c r="T10" s="6"/>
      <c r="U10" s="6"/>
      <c r="V10" s="6"/>
    </row>
    <row r="11" spans="1:22" ht="14.15" customHeight="1">
      <c r="A11" s="231" t="s">
        <v>191</v>
      </c>
      <c r="B11" s="233">
        <v>30</v>
      </c>
      <c r="C11" s="19"/>
      <c r="D11" s="6"/>
      <c r="E11" s="6"/>
      <c r="G11" s="6"/>
      <c r="H11" s="19"/>
      <c r="I11" s="19"/>
      <c r="J11" s="6"/>
      <c r="K11" s="6"/>
      <c r="L11" s="6"/>
      <c r="M11" s="6"/>
      <c r="N11" s="6"/>
      <c r="O11" s="6"/>
      <c r="P11" s="6"/>
      <c r="Q11" s="6"/>
      <c r="R11" s="6"/>
      <c r="S11" s="6"/>
      <c r="T11" s="6"/>
      <c r="U11" s="6"/>
      <c r="V11" s="6"/>
    </row>
    <row r="12" spans="1:22" ht="58">
      <c r="A12" s="231" t="s">
        <v>192</v>
      </c>
      <c r="B12" s="236" t="s">
        <v>193</v>
      </c>
      <c r="C12" s="19"/>
      <c r="D12" s="178"/>
      <c r="E12" s="6"/>
      <c r="F12" s="6"/>
      <c r="G12" s="6"/>
      <c r="H12" s="19"/>
      <c r="I12" s="19"/>
      <c r="J12" s="6"/>
      <c r="K12" s="6"/>
      <c r="L12" s="6"/>
      <c r="M12" s="6"/>
      <c r="N12" s="6"/>
      <c r="O12" s="6"/>
      <c r="P12" s="6"/>
      <c r="Q12" s="6"/>
      <c r="R12" s="6"/>
      <c r="S12" s="6"/>
      <c r="T12" s="6"/>
      <c r="U12" s="6"/>
      <c r="V12" s="6"/>
    </row>
    <row r="13" spans="1:22">
      <c r="A13" s="195"/>
      <c r="B13" s="195"/>
      <c r="C13" s="19"/>
      <c r="D13" s="178"/>
      <c r="E13" s="6"/>
      <c r="F13" s="6"/>
      <c r="G13" s="6"/>
      <c r="H13" s="19"/>
      <c r="I13" s="19"/>
      <c r="J13" s="6"/>
      <c r="K13" s="6"/>
      <c r="L13" s="6"/>
      <c r="M13" s="6"/>
      <c r="N13" s="6"/>
      <c r="O13" s="6"/>
      <c r="P13" s="6"/>
      <c r="Q13" s="6"/>
      <c r="R13" s="6"/>
      <c r="S13" s="6"/>
      <c r="T13" s="6"/>
      <c r="U13" s="6"/>
      <c r="V13" s="6"/>
    </row>
    <row r="14" spans="1:22">
      <c r="A14" s="6"/>
      <c r="B14" s="6"/>
      <c r="C14" s="19"/>
      <c r="D14" s="6"/>
      <c r="E14" s="6"/>
      <c r="F14" s="6"/>
      <c r="G14" s="6"/>
      <c r="H14" s="19"/>
      <c r="I14" s="19"/>
      <c r="J14" s="6"/>
      <c r="K14" s="6"/>
      <c r="L14" s="6"/>
      <c r="M14" s="6"/>
      <c r="N14" s="6"/>
      <c r="O14" s="6"/>
      <c r="P14" s="6"/>
      <c r="Q14" s="6"/>
      <c r="R14" s="6"/>
      <c r="S14" s="6"/>
      <c r="T14" s="6"/>
      <c r="U14" s="6"/>
      <c r="V14" s="6"/>
    </row>
    <row r="15" spans="1:22" ht="40.5" customHeight="1">
      <c r="A15" s="179" t="s">
        <v>4</v>
      </c>
      <c r="B15" s="179" t="s">
        <v>66</v>
      </c>
      <c r="C15" s="183" t="s">
        <v>194</v>
      </c>
      <c r="D15" s="179" t="s">
        <v>74</v>
      </c>
      <c r="E15" s="179" t="s">
        <v>20</v>
      </c>
      <c r="F15" s="181" t="s">
        <v>22</v>
      </c>
      <c r="G15" s="225" t="s">
        <v>118</v>
      </c>
      <c r="H15" s="183" t="s">
        <v>122</v>
      </c>
      <c r="I15" s="183" t="s">
        <v>80</v>
      </c>
      <c r="J15" s="6"/>
      <c r="K15" s="6"/>
      <c r="L15" s="6"/>
      <c r="M15" s="179" t="s">
        <v>4</v>
      </c>
      <c r="N15" s="179" t="s">
        <v>66</v>
      </c>
      <c r="O15" s="183" t="s">
        <v>194</v>
      </c>
      <c r="P15" s="179" t="s">
        <v>74</v>
      </c>
      <c r="Q15" s="179" t="s">
        <v>20</v>
      </c>
      <c r="R15" s="181" t="s">
        <v>22</v>
      </c>
      <c r="S15" s="225" t="s">
        <v>118</v>
      </c>
      <c r="T15" s="183" t="s">
        <v>122</v>
      </c>
      <c r="U15" s="183" t="s">
        <v>80</v>
      </c>
    </row>
    <row r="16" spans="1:22">
      <c r="A16" s="82">
        <f>D5</f>
        <v>44788</v>
      </c>
      <c r="B16" s="221">
        <f>E5</f>
        <v>100000000</v>
      </c>
      <c r="C16" s="222">
        <f>B16</f>
        <v>100000000</v>
      </c>
      <c r="D16" s="208"/>
      <c r="E16" s="208"/>
      <c r="F16" s="208"/>
      <c r="G16" s="208"/>
      <c r="H16" s="222"/>
      <c r="I16" s="222"/>
      <c r="J16" s="6"/>
      <c r="K16" s="6"/>
      <c r="L16" s="6"/>
      <c r="M16" s="90">
        <v>44788</v>
      </c>
      <c r="N16" s="226">
        <v>100000000</v>
      </c>
      <c r="O16" s="88">
        <v>100000000</v>
      </c>
      <c r="P16" s="208"/>
      <c r="Q16" s="208"/>
      <c r="R16" s="208"/>
      <c r="S16" s="208"/>
      <c r="T16" s="222"/>
      <c r="U16" s="222"/>
    </row>
    <row r="17" spans="1:21">
      <c r="A17" s="80">
        <f>EDATE(A16,1)</f>
        <v>44819</v>
      </c>
      <c r="B17" s="228"/>
      <c r="C17" s="18">
        <f>C16-H17</f>
        <v>96666666.670000002</v>
      </c>
      <c r="D17" s="228">
        <f t="shared" ref="D17:D32" si="0">A17-A16</f>
        <v>31</v>
      </c>
      <c r="E17" s="228">
        <f>$B$5*D17/$B$8</f>
        <v>4.3055555555555555E-3</v>
      </c>
      <c r="F17" s="18">
        <f>ROUND(E17*C16,2)</f>
        <v>430555.56</v>
      </c>
      <c r="G17" s="228">
        <v>30</v>
      </c>
      <c r="H17" s="18">
        <f>ROUND(C16/G17,2)</f>
        <v>3333333.33</v>
      </c>
      <c r="I17" s="81">
        <f>F17+H17</f>
        <v>3763888.89</v>
      </c>
      <c r="J17" s="6"/>
      <c r="K17" s="6"/>
      <c r="L17" s="6"/>
      <c r="M17" s="80">
        <v>44819</v>
      </c>
      <c r="N17" s="228"/>
      <c r="O17" s="18">
        <v>96666666.670000002</v>
      </c>
      <c r="P17" s="228">
        <v>31</v>
      </c>
      <c r="Q17" s="228">
        <v>4.3055555555555555E-3</v>
      </c>
      <c r="R17" s="18">
        <v>430555.56</v>
      </c>
      <c r="S17" s="228">
        <v>30</v>
      </c>
      <c r="T17" s="18">
        <v>3333333.33</v>
      </c>
      <c r="U17" s="81">
        <v>3763888.89</v>
      </c>
    </row>
    <row r="18" spans="1:21">
      <c r="A18" s="185">
        <f>EDATE(A17,1)</f>
        <v>44849</v>
      </c>
      <c r="B18" s="6"/>
      <c r="C18" s="19">
        <f t="shared" ref="C18:C82" si="1">C17-H18</f>
        <v>93333333.340000004</v>
      </c>
      <c r="D18" s="6">
        <f t="shared" si="0"/>
        <v>30</v>
      </c>
      <c r="E18" s="6">
        <f t="shared" ref="E18:E82" si="2">$B$5*D18/$B$8</f>
        <v>4.1666666666666666E-3</v>
      </c>
      <c r="F18" s="19">
        <f>ROUND(E18*C17,2)</f>
        <v>402777.78</v>
      </c>
      <c r="G18" s="6">
        <f>G17-1</f>
        <v>29</v>
      </c>
      <c r="H18" s="19">
        <f t="shared" ref="H18:H82" si="3">ROUND(C17/G18,2)</f>
        <v>3333333.33</v>
      </c>
      <c r="I18" s="202">
        <f t="shared" ref="I18:I82" si="4">F18+H18</f>
        <v>3736111.1100000003</v>
      </c>
      <c r="J18" s="6"/>
      <c r="K18" s="6"/>
      <c r="L18" s="6"/>
      <c r="M18" s="185">
        <v>44849</v>
      </c>
      <c r="N18" s="6"/>
      <c r="O18" s="19">
        <v>93333333.340000004</v>
      </c>
      <c r="P18" s="6">
        <v>30</v>
      </c>
      <c r="Q18" s="6">
        <v>4.1666666666666666E-3</v>
      </c>
      <c r="R18" s="19">
        <v>402777.78</v>
      </c>
      <c r="S18" s="6">
        <v>29</v>
      </c>
      <c r="T18" s="19">
        <v>3333333.33</v>
      </c>
      <c r="U18" s="202">
        <v>3736111.1100000003</v>
      </c>
    </row>
    <row r="19" spans="1:21">
      <c r="A19" s="185">
        <f t="shared" ref="A19:A82" si="5">EDATE(A18,1)</f>
        <v>44880</v>
      </c>
      <c r="B19" s="6"/>
      <c r="C19" s="19">
        <f t="shared" si="1"/>
        <v>90000000.010000005</v>
      </c>
      <c r="D19" s="6">
        <f t="shared" si="0"/>
        <v>31</v>
      </c>
      <c r="E19" s="6">
        <f t="shared" si="2"/>
        <v>4.3055555555555555E-3</v>
      </c>
      <c r="F19" s="19">
        <f t="shared" ref="F19:F71" si="6">ROUND(E19*C18,2)</f>
        <v>401851.85</v>
      </c>
      <c r="G19" s="6">
        <f t="shared" ref="G19:G32" si="7">G18-1</f>
        <v>28</v>
      </c>
      <c r="H19" s="19">
        <f t="shared" si="3"/>
        <v>3333333.33</v>
      </c>
      <c r="I19" s="202">
        <f t="shared" si="4"/>
        <v>3735185.18</v>
      </c>
      <c r="J19" s="6"/>
      <c r="K19" s="6"/>
      <c r="L19" s="6"/>
      <c r="M19" s="185">
        <v>44880</v>
      </c>
      <c r="N19" s="6"/>
      <c r="O19" s="19">
        <v>90000000.010000005</v>
      </c>
      <c r="P19" s="6">
        <v>31</v>
      </c>
      <c r="Q19" s="6">
        <v>4.3055555555555555E-3</v>
      </c>
      <c r="R19" s="19">
        <v>401851.85</v>
      </c>
      <c r="S19" s="6">
        <v>28</v>
      </c>
      <c r="T19" s="19">
        <v>3333333.33</v>
      </c>
      <c r="U19" s="202">
        <v>3735185.18</v>
      </c>
    </row>
    <row r="20" spans="1:21">
      <c r="A20" s="185">
        <f t="shared" si="5"/>
        <v>44910</v>
      </c>
      <c r="B20" s="6"/>
      <c r="C20" s="19">
        <f t="shared" si="1"/>
        <v>86666666.680000007</v>
      </c>
      <c r="D20" s="6">
        <f t="shared" si="0"/>
        <v>30</v>
      </c>
      <c r="E20" s="6">
        <f t="shared" si="2"/>
        <v>4.1666666666666666E-3</v>
      </c>
      <c r="F20" s="19">
        <f t="shared" si="6"/>
        <v>375000</v>
      </c>
      <c r="G20" s="6">
        <f t="shared" si="7"/>
        <v>27</v>
      </c>
      <c r="H20" s="19">
        <f t="shared" si="3"/>
        <v>3333333.33</v>
      </c>
      <c r="I20" s="202">
        <f t="shared" si="4"/>
        <v>3708333.33</v>
      </c>
      <c r="J20" s="6"/>
      <c r="K20" s="6"/>
      <c r="L20" s="6"/>
      <c r="M20" s="241" t="s">
        <v>32</v>
      </c>
      <c r="N20" s="241" t="s">
        <v>32</v>
      </c>
      <c r="O20" s="241" t="s">
        <v>32</v>
      </c>
      <c r="P20" s="241" t="s">
        <v>32</v>
      </c>
      <c r="Q20" s="241" t="s">
        <v>32</v>
      </c>
      <c r="R20" s="241" t="s">
        <v>32</v>
      </c>
      <c r="S20" s="241" t="s">
        <v>32</v>
      </c>
      <c r="T20" s="241" t="s">
        <v>32</v>
      </c>
      <c r="U20" s="241" t="s">
        <v>32</v>
      </c>
    </row>
    <row r="21" spans="1:21">
      <c r="A21" s="185">
        <f t="shared" si="5"/>
        <v>44941</v>
      </c>
      <c r="B21" s="6"/>
      <c r="C21" s="19">
        <f t="shared" si="1"/>
        <v>83333333.350000009</v>
      </c>
      <c r="D21" s="6">
        <f t="shared" si="0"/>
        <v>31</v>
      </c>
      <c r="E21" s="6">
        <f t="shared" si="2"/>
        <v>4.3055555555555555E-3</v>
      </c>
      <c r="F21" s="19">
        <f t="shared" si="6"/>
        <v>373148.15</v>
      </c>
      <c r="G21" s="6">
        <f t="shared" si="7"/>
        <v>26</v>
      </c>
      <c r="H21" s="19">
        <f t="shared" si="3"/>
        <v>3333333.33</v>
      </c>
      <c r="I21" s="202">
        <f t="shared" si="4"/>
        <v>3706481.48</v>
      </c>
      <c r="J21" s="6"/>
      <c r="K21" s="6"/>
      <c r="L21" s="6"/>
      <c r="M21" s="185">
        <v>45245</v>
      </c>
      <c r="N21" s="6"/>
      <c r="O21" s="19">
        <v>50000000.020000011</v>
      </c>
      <c r="P21" s="6">
        <v>31</v>
      </c>
      <c r="Q21" s="6">
        <v>4.3055555555555555E-3</v>
      </c>
      <c r="R21" s="19">
        <v>229629.63</v>
      </c>
      <c r="S21" s="6">
        <v>16</v>
      </c>
      <c r="T21" s="19">
        <v>3333333.34</v>
      </c>
      <c r="U21" s="202">
        <v>3562962.9699999997</v>
      </c>
    </row>
    <row r="22" spans="1:21">
      <c r="A22" s="185">
        <f t="shared" si="5"/>
        <v>44972</v>
      </c>
      <c r="B22" s="6"/>
      <c r="C22" s="19">
        <f t="shared" si="1"/>
        <v>80000000.020000011</v>
      </c>
      <c r="D22" s="6">
        <f t="shared" si="0"/>
        <v>31</v>
      </c>
      <c r="E22" s="6">
        <f t="shared" si="2"/>
        <v>4.3055555555555555E-3</v>
      </c>
      <c r="F22" s="19">
        <f t="shared" si="6"/>
        <v>358796.3</v>
      </c>
      <c r="G22" s="6">
        <f t="shared" si="7"/>
        <v>25</v>
      </c>
      <c r="H22" s="19">
        <f t="shared" si="3"/>
        <v>3333333.33</v>
      </c>
      <c r="I22" s="202">
        <f t="shared" si="4"/>
        <v>3692129.63</v>
      </c>
      <c r="J22" s="6"/>
      <c r="K22" s="6"/>
      <c r="L22" s="6"/>
      <c r="M22" s="185">
        <v>45275</v>
      </c>
      <c r="N22" s="6"/>
      <c r="O22" s="19">
        <v>46666666.689999998</v>
      </c>
      <c r="P22" s="6">
        <v>30</v>
      </c>
      <c r="Q22" s="6">
        <v>4.1666666666666666E-3</v>
      </c>
      <c r="R22" s="19">
        <v>208333.33</v>
      </c>
      <c r="S22" s="6">
        <v>15</v>
      </c>
      <c r="T22" s="19">
        <v>3333333.33</v>
      </c>
      <c r="U22" s="202">
        <v>3541666.66</v>
      </c>
    </row>
    <row r="23" spans="1:21">
      <c r="A23" s="185">
        <f t="shared" si="5"/>
        <v>45000</v>
      </c>
      <c r="B23" s="6"/>
      <c r="C23" s="19">
        <f t="shared" si="1"/>
        <v>76666666.690000013</v>
      </c>
      <c r="D23" s="6">
        <f t="shared" si="0"/>
        <v>28</v>
      </c>
      <c r="E23" s="6">
        <f t="shared" si="2"/>
        <v>3.8888888888888892E-3</v>
      </c>
      <c r="F23" s="19">
        <f t="shared" si="6"/>
        <v>311111.11</v>
      </c>
      <c r="G23" s="6">
        <f t="shared" si="7"/>
        <v>24</v>
      </c>
      <c r="H23" s="19">
        <f t="shared" si="3"/>
        <v>3333333.33</v>
      </c>
      <c r="I23" s="202">
        <f t="shared" si="4"/>
        <v>3644444.44</v>
      </c>
      <c r="J23" s="6"/>
      <c r="K23" s="6"/>
      <c r="L23" s="6"/>
      <c r="M23" s="249"/>
      <c r="N23" s="249"/>
      <c r="O23" s="250"/>
      <c r="P23" s="253" t="s">
        <v>195</v>
      </c>
      <c r="Q23" s="249"/>
      <c r="R23" s="250"/>
      <c r="S23" s="249"/>
      <c r="T23" s="250"/>
      <c r="U23" s="251"/>
    </row>
    <row r="24" spans="1:21">
      <c r="A24" s="185">
        <f t="shared" si="5"/>
        <v>45031</v>
      </c>
      <c r="B24" s="6"/>
      <c r="C24" s="19">
        <f t="shared" si="1"/>
        <v>73333333.360000014</v>
      </c>
      <c r="D24" s="6">
        <f t="shared" si="0"/>
        <v>31</v>
      </c>
      <c r="E24" s="6">
        <f t="shared" si="2"/>
        <v>4.3055555555555555E-3</v>
      </c>
      <c r="F24" s="19">
        <f t="shared" si="6"/>
        <v>330092.59000000003</v>
      </c>
      <c r="G24" s="6">
        <f t="shared" si="7"/>
        <v>23</v>
      </c>
      <c r="H24" s="19">
        <f t="shared" si="3"/>
        <v>3333333.33</v>
      </c>
      <c r="I24" s="202">
        <f t="shared" si="4"/>
        <v>3663425.92</v>
      </c>
      <c r="J24" s="6"/>
      <c r="K24" s="6"/>
      <c r="L24" s="6"/>
      <c r="M24" s="242">
        <v>45306</v>
      </c>
      <c r="N24" s="243"/>
      <c r="O24" s="244">
        <v>46867592.620000012</v>
      </c>
      <c r="P24" s="243">
        <v>31</v>
      </c>
      <c r="Q24" s="243">
        <v>4.3055555555555555E-3</v>
      </c>
      <c r="R24" s="244">
        <v>200925.93</v>
      </c>
      <c r="S24" s="243"/>
      <c r="T24" s="244">
        <v>0</v>
      </c>
      <c r="U24" s="245">
        <v>0</v>
      </c>
    </row>
    <row r="25" spans="1:21">
      <c r="A25" s="185">
        <f t="shared" si="5"/>
        <v>45061</v>
      </c>
      <c r="B25" s="6"/>
      <c r="C25" s="19">
        <f t="shared" si="1"/>
        <v>70000000.030000016</v>
      </c>
      <c r="D25" s="6">
        <f t="shared" si="0"/>
        <v>30</v>
      </c>
      <c r="E25" s="6">
        <f t="shared" si="2"/>
        <v>4.1666666666666666E-3</v>
      </c>
      <c r="F25" s="19">
        <f t="shared" si="6"/>
        <v>305555.56</v>
      </c>
      <c r="G25" s="6">
        <f t="shared" si="7"/>
        <v>22</v>
      </c>
      <c r="H25" s="19">
        <f t="shared" si="3"/>
        <v>3333333.33</v>
      </c>
      <c r="I25" s="202">
        <f t="shared" si="4"/>
        <v>3638888.89</v>
      </c>
      <c r="J25" s="6"/>
      <c r="K25" s="6"/>
      <c r="L25" s="6"/>
      <c r="M25" s="242">
        <v>45337</v>
      </c>
      <c r="N25" s="243"/>
      <c r="O25" s="244">
        <v>47069383.640000015</v>
      </c>
      <c r="P25" s="243">
        <v>31</v>
      </c>
      <c r="Q25" s="243">
        <v>4.3055555555555555E-3</v>
      </c>
      <c r="R25" s="244">
        <v>201791.02</v>
      </c>
      <c r="S25" s="243"/>
      <c r="T25" s="244">
        <v>0</v>
      </c>
      <c r="U25" s="245">
        <v>0</v>
      </c>
    </row>
    <row r="26" spans="1:21">
      <c r="A26" s="185">
        <f t="shared" si="5"/>
        <v>45092</v>
      </c>
      <c r="B26" s="6"/>
      <c r="C26" s="19">
        <f t="shared" si="1"/>
        <v>66666666.700000018</v>
      </c>
      <c r="D26" s="6">
        <f t="shared" si="0"/>
        <v>31</v>
      </c>
      <c r="E26" s="6">
        <f t="shared" si="2"/>
        <v>4.3055555555555555E-3</v>
      </c>
      <c r="F26" s="19">
        <f t="shared" si="6"/>
        <v>301388.89</v>
      </c>
      <c r="G26" s="6">
        <f t="shared" si="7"/>
        <v>21</v>
      </c>
      <c r="H26" s="19">
        <f t="shared" si="3"/>
        <v>3333333.33</v>
      </c>
      <c r="I26" s="202">
        <f t="shared" si="4"/>
        <v>3634722.22</v>
      </c>
      <c r="J26" s="6"/>
      <c r="K26" s="6"/>
      <c r="L26" s="6"/>
      <c r="M26" s="242">
        <v>45366</v>
      </c>
      <c r="N26" s="243"/>
      <c r="O26" s="244">
        <v>47258968.660000019</v>
      </c>
      <c r="P26" s="243">
        <v>29</v>
      </c>
      <c r="Q26" s="243">
        <v>4.0277777777777786E-3</v>
      </c>
      <c r="R26" s="244">
        <v>189585.02</v>
      </c>
      <c r="S26" s="243"/>
      <c r="T26" s="244">
        <v>0</v>
      </c>
      <c r="U26" s="245">
        <v>0</v>
      </c>
    </row>
    <row r="27" spans="1:21">
      <c r="A27" s="185">
        <f t="shared" si="5"/>
        <v>45122</v>
      </c>
      <c r="B27" s="6"/>
      <c r="C27" s="19">
        <f t="shared" si="1"/>
        <v>63333333.360000014</v>
      </c>
      <c r="D27" s="6">
        <f t="shared" si="0"/>
        <v>30</v>
      </c>
      <c r="E27" s="6">
        <f t="shared" si="2"/>
        <v>4.1666666666666666E-3</v>
      </c>
      <c r="F27" s="19">
        <f t="shared" si="6"/>
        <v>277777.78000000003</v>
      </c>
      <c r="G27" s="6">
        <f t="shared" si="7"/>
        <v>20</v>
      </c>
      <c r="H27" s="19">
        <f t="shared" si="3"/>
        <v>3333333.34</v>
      </c>
      <c r="I27" s="202">
        <f t="shared" si="4"/>
        <v>3611111.12</v>
      </c>
      <c r="J27" s="6"/>
      <c r="K27" s="6"/>
      <c r="L27" s="6"/>
      <c r="M27" s="241" t="s">
        <v>32</v>
      </c>
      <c r="N27" s="241" t="s">
        <v>32</v>
      </c>
      <c r="O27" s="241" t="s">
        <v>32</v>
      </c>
      <c r="P27" s="241" t="s">
        <v>32</v>
      </c>
      <c r="Q27" s="241" t="s">
        <v>32</v>
      </c>
      <c r="R27" s="241" t="s">
        <v>32</v>
      </c>
      <c r="S27" s="241" t="s">
        <v>32</v>
      </c>
      <c r="T27" s="241" t="s">
        <v>32</v>
      </c>
      <c r="U27" s="241" t="s">
        <v>32</v>
      </c>
    </row>
    <row r="28" spans="1:21">
      <c r="A28" s="185">
        <f t="shared" si="5"/>
        <v>45153</v>
      </c>
      <c r="B28" s="6"/>
      <c r="C28" s="19">
        <f t="shared" si="1"/>
        <v>60000000.030000016</v>
      </c>
      <c r="D28" s="6">
        <f t="shared" si="0"/>
        <v>31</v>
      </c>
      <c r="E28" s="6">
        <f t="shared" si="2"/>
        <v>4.3055555555555555E-3</v>
      </c>
      <c r="F28" s="19">
        <f t="shared" si="6"/>
        <v>272685.19</v>
      </c>
      <c r="G28" s="6">
        <f t="shared" si="7"/>
        <v>19</v>
      </c>
      <c r="H28" s="19">
        <f t="shared" si="3"/>
        <v>3333333.33</v>
      </c>
      <c r="I28" s="202">
        <f t="shared" si="4"/>
        <v>3606018.52</v>
      </c>
      <c r="J28" s="6"/>
      <c r="K28" s="6"/>
      <c r="L28" s="6"/>
      <c r="M28" s="242">
        <v>45976</v>
      </c>
      <c r="N28" s="243"/>
      <c r="O28" s="244">
        <v>51428146.740000002</v>
      </c>
      <c r="P28" s="243">
        <v>31</v>
      </c>
      <c r="Q28" s="243">
        <v>4.3055555555555555E-3</v>
      </c>
      <c r="R28" s="244">
        <v>220477.46</v>
      </c>
      <c r="S28" s="243"/>
      <c r="T28" s="244">
        <v>0</v>
      </c>
      <c r="U28" s="245">
        <v>0</v>
      </c>
    </row>
    <row r="29" spans="1:21">
      <c r="A29" s="185">
        <f t="shared" si="5"/>
        <v>45184</v>
      </c>
      <c r="B29" s="6"/>
      <c r="C29" s="19">
        <f t="shared" si="1"/>
        <v>56666666.690000013</v>
      </c>
      <c r="D29" s="6">
        <f t="shared" si="0"/>
        <v>31</v>
      </c>
      <c r="E29" s="6">
        <f t="shared" si="2"/>
        <v>4.3055555555555555E-3</v>
      </c>
      <c r="F29" s="19">
        <f t="shared" si="6"/>
        <v>258333.33</v>
      </c>
      <c r="G29" s="6">
        <f t="shared" si="7"/>
        <v>18</v>
      </c>
      <c r="H29" s="19">
        <f t="shared" si="3"/>
        <v>3333333.34</v>
      </c>
      <c r="I29" s="202">
        <f t="shared" si="4"/>
        <v>3591666.67</v>
      </c>
      <c r="J29" s="6"/>
      <c r="K29" s="6"/>
      <c r="L29" s="6"/>
      <c r="M29" s="242">
        <v>46006</v>
      </c>
      <c r="N29" s="243"/>
      <c r="O29" s="244">
        <v>51642430.68</v>
      </c>
      <c r="P29" s="243">
        <v>30</v>
      </c>
      <c r="Q29" s="243">
        <v>4.1666666666666666E-3</v>
      </c>
      <c r="R29" s="244">
        <v>214283.94</v>
      </c>
      <c r="S29" s="243"/>
      <c r="T29" s="244">
        <v>0</v>
      </c>
      <c r="U29" s="245">
        <v>0</v>
      </c>
    </row>
    <row r="30" spans="1:21">
      <c r="A30" s="185">
        <f t="shared" si="5"/>
        <v>45214</v>
      </c>
      <c r="B30" s="6"/>
      <c r="C30" s="19">
        <f t="shared" si="1"/>
        <v>53333333.360000014</v>
      </c>
      <c r="D30" s="6">
        <f t="shared" si="0"/>
        <v>30</v>
      </c>
      <c r="E30" s="6">
        <f t="shared" si="2"/>
        <v>4.1666666666666666E-3</v>
      </c>
      <c r="F30" s="19">
        <f t="shared" si="6"/>
        <v>236111.11</v>
      </c>
      <c r="G30" s="6">
        <f t="shared" si="7"/>
        <v>17</v>
      </c>
      <c r="H30" s="19">
        <f t="shared" si="3"/>
        <v>3333333.33</v>
      </c>
      <c r="I30" s="202">
        <f t="shared" si="4"/>
        <v>3569444.44</v>
      </c>
      <c r="J30" s="6"/>
      <c r="K30" s="6"/>
      <c r="L30" s="6"/>
      <c r="M30" s="246"/>
      <c r="N30" s="246"/>
      <c r="O30" s="247"/>
      <c r="P30" s="252" t="s">
        <v>196</v>
      </c>
      <c r="Q30" s="246"/>
      <c r="R30" s="247"/>
      <c r="S30" s="246"/>
      <c r="T30" s="247"/>
      <c r="U30" s="248"/>
    </row>
    <row r="31" spans="1:21">
      <c r="A31" s="185">
        <f t="shared" si="5"/>
        <v>45245</v>
      </c>
      <c r="B31" s="6"/>
      <c r="C31" s="19">
        <f t="shared" si="1"/>
        <v>50000000.020000011</v>
      </c>
      <c r="D31" s="6">
        <f t="shared" si="0"/>
        <v>31</v>
      </c>
      <c r="E31" s="6">
        <f t="shared" si="2"/>
        <v>4.3055555555555555E-3</v>
      </c>
      <c r="F31" s="19">
        <f t="shared" si="6"/>
        <v>229629.63</v>
      </c>
      <c r="G31" s="6">
        <f t="shared" si="7"/>
        <v>16</v>
      </c>
      <c r="H31" s="19">
        <f t="shared" si="3"/>
        <v>3333333.34</v>
      </c>
      <c r="I31" s="202">
        <f t="shared" si="4"/>
        <v>3562962.9699999997</v>
      </c>
      <c r="J31" s="6"/>
      <c r="K31" s="6"/>
      <c r="L31" s="6"/>
      <c r="M31" s="80">
        <v>46037</v>
      </c>
      <c r="N31" s="86"/>
      <c r="O31" s="81">
        <v>50283419.350000001</v>
      </c>
      <c r="P31" s="86">
        <v>31</v>
      </c>
      <c r="Q31" s="86">
        <v>4.3055555555555555E-3</v>
      </c>
      <c r="R31" s="81">
        <v>222349.35</v>
      </c>
      <c r="S31" s="86">
        <v>38</v>
      </c>
      <c r="T31" s="81">
        <v>1359011.33</v>
      </c>
      <c r="U31" s="81">
        <v>1581360.6800000002</v>
      </c>
    </row>
    <row r="32" spans="1:21">
      <c r="A32" s="185">
        <f>EDATE(A31,1)</f>
        <v>45275</v>
      </c>
      <c r="B32" s="6"/>
      <c r="C32" s="19">
        <f>C31-H32</f>
        <v>46666666.690000013</v>
      </c>
      <c r="D32" s="6">
        <f t="shared" si="0"/>
        <v>30</v>
      </c>
      <c r="E32" s="6">
        <f>$B$5*D32/$B$8</f>
        <v>4.1666666666666666E-3</v>
      </c>
      <c r="F32" s="19">
        <f>ROUND(E32*C31,2)</f>
        <v>208333.33</v>
      </c>
      <c r="G32" s="6">
        <f t="shared" si="7"/>
        <v>15</v>
      </c>
      <c r="H32" s="19">
        <f t="shared" ref="H32" si="8">ROUND(C31/G32,2)</f>
        <v>3333333.33</v>
      </c>
      <c r="I32" s="202">
        <f t="shared" ref="I32" si="9">F32+H32</f>
        <v>3541666.66</v>
      </c>
      <c r="K32" s="19"/>
      <c r="L32" s="6"/>
      <c r="M32" s="185">
        <v>46068</v>
      </c>
      <c r="N32" s="6"/>
      <c r="O32" s="19">
        <v>48924408.020000003</v>
      </c>
      <c r="P32" s="6">
        <v>31</v>
      </c>
      <c r="Q32" s="6">
        <v>4.3055555555555555E-3</v>
      </c>
      <c r="R32" s="19">
        <v>216498.06</v>
      </c>
      <c r="S32" s="6">
        <v>37</v>
      </c>
      <c r="T32" s="19">
        <v>1359011.33</v>
      </c>
      <c r="U32" s="202">
        <v>1575509.3900000001</v>
      </c>
    </row>
    <row r="33" spans="1:21" ht="39" customHeight="1">
      <c r="A33" s="657" t="s">
        <v>195</v>
      </c>
      <c r="B33" s="237"/>
      <c r="C33" s="238"/>
      <c r="D33" s="238"/>
      <c r="E33" s="237"/>
      <c r="F33" s="238"/>
      <c r="G33" s="237"/>
      <c r="H33" s="238"/>
      <c r="I33" s="239"/>
      <c r="J33" s="656" t="s">
        <v>227</v>
      </c>
      <c r="K33" s="6"/>
      <c r="L33" s="6"/>
      <c r="M33" s="185">
        <v>46096</v>
      </c>
      <c r="N33" s="6"/>
      <c r="O33" s="19">
        <v>47565396.690000005</v>
      </c>
      <c r="P33" s="6">
        <v>28</v>
      </c>
      <c r="Q33" s="6">
        <v>3.8888888888888892E-3</v>
      </c>
      <c r="R33" s="19">
        <v>190261.59</v>
      </c>
      <c r="S33" s="6">
        <v>36</v>
      </c>
      <c r="T33" s="19">
        <v>1359011.33</v>
      </c>
      <c r="U33" s="202">
        <v>1549272.9200000002</v>
      </c>
    </row>
    <row r="34" spans="1:21">
      <c r="A34" s="185">
        <f>EDATE(A32,1)</f>
        <v>45306</v>
      </c>
      <c r="B34" s="6"/>
      <c r="C34" s="19">
        <f>C32-H34+F34</f>
        <v>46867592.620000012</v>
      </c>
      <c r="D34" s="6">
        <f>A34-A32</f>
        <v>31</v>
      </c>
      <c r="E34" s="6">
        <f t="shared" si="2"/>
        <v>4.3055555555555555E-3</v>
      </c>
      <c r="F34" s="19">
        <f>ROUND(E34*C32,2)</f>
        <v>200925.93</v>
      </c>
      <c r="G34" s="6"/>
      <c r="H34" s="19">
        <v>0</v>
      </c>
      <c r="I34" s="202">
        <f>F34*0+H34</f>
        <v>0</v>
      </c>
      <c r="J34" s="6">
        <v>1</v>
      </c>
      <c r="K34" s="6"/>
      <c r="L34" s="6"/>
      <c r="M34" s="241" t="s">
        <v>32</v>
      </c>
      <c r="N34" s="241" t="s">
        <v>32</v>
      </c>
      <c r="O34" s="241" t="s">
        <v>32</v>
      </c>
      <c r="P34" s="241" t="s">
        <v>32</v>
      </c>
      <c r="Q34" s="241" t="s">
        <v>32</v>
      </c>
      <c r="R34" s="241" t="s">
        <v>32</v>
      </c>
      <c r="S34" s="241" t="s">
        <v>32</v>
      </c>
      <c r="T34" s="241" t="s">
        <v>32</v>
      </c>
      <c r="U34" s="241" t="s">
        <v>32</v>
      </c>
    </row>
    <row r="35" spans="1:21">
      <c r="A35" s="185">
        <f t="shared" si="5"/>
        <v>45337</v>
      </c>
      <c r="B35" s="6"/>
      <c r="C35" s="19">
        <f>C34-H35+F35</f>
        <v>47069383.640000015</v>
      </c>
      <c r="D35" s="6">
        <f t="shared" ref="D35:D66" si="10">A35-A34</f>
        <v>31</v>
      </c>
      <c r="E35" s="6">
        <f t="shared" si="2"/>
        <v>4.3055555555555555E-3</v>
      </c>
      <c r="F35" s="19">
        <f t="shared" si="6"/>
        <v>201791.02</v>
      </c>
      <c r="G35" s="6"/>
      <c r="H35" s="19">
        <v>0</v>
      </c>
      <c r="I35" s="202">
        <f t="shared" ref="I35:I57" si="11">F35*0+H35</f>
        <v>0</v>
      </c>
      <c r="J35" s="6">
        <f>J34+1</f>
        <v>2</v>
      </c>
      <c r="K35" s="6"/>
      <c r="L35" s="6"/>
      <c r="M35" s="185">
        <v>47072</v>
      </c>
      <c r="N35" s="6"/>
      <c r="O35" s="19">
        <v>4077034.0000000056</v>
      </c>
      <c r="P35" s="6">
        <v>31</v>
      </c>
      <c r="Q35" s="6">
        <v>4.3055555555555555E-3</v>
      </c>
      <c r="R35" s="19">
        <v>23405.200000000001</v>
      </c>
      <c r="S35" s="6">
        <v>4</v>
      </c>
      <c r="T35" s="19">
        <v>1359011.34</v>
      </c>
      <c r="U35" s="202">
        <v>1382416.54</v>
      </c>
    </row>
    <row r="36" spans="1:21">
      <c r="A36" s="185">
        <f t="shared" si="5"/>
        <v>45366</v>
      </c>
      <c r="B36" s="6"/>
      <c r="C36" s="19">
        <f t="shared" ref="C36:C57" si="12">C35-H36+F36</f>
        <v>47258968.660000019</v>
      </c>
      <c r="D36" s="6">
        <f t="shared" si="10"/>
        <v>29</v>
      </c>
      <c r="E36" s="6">
        <f t="shared" si="2"/>
        <v>4.0277777777777786E-3</v>
      </c>
      <c r="F36" s="19">
        <f t="shared" si="6"/>
        <v>189585.02</v>
      </c>
      <c r="G36" s="6"/>
      <c r="H36" s="19">
        <v>0</v>
      </c>
      <c r="I36" s="202">
        <f t="shared" si="11"/>
        <v>0</v>
      </c>
      <c r="J36" s="6">
        <f t="shared" ref="J36:J57" si="13">J35+1</f>
        <v>3</v>
      </c>
      <c r="K36" s="6"/>
      <c r="L36" s="6"/>
      <c r="M36" s="185">
        <v>47102</v>
      </c>
      <c r="N36" s="6"/>
      <c r="O36" s="19">
        <v>2718022.6700000055</v>
      </c>
      <c r="P36" s="6">
        <v>30</v>
      </c>
      <c r="Q36" s="6">
        <v>4.1666666666666666E-3</v>
      </c>
      <c r="R36" s="19">
        <v>16987.64</v>
      </c>
      <c r="S36" s="6">
        <v>3</v>
      </c>
      <c r="T36" s="19">
        <v>1359011.33</v>
      </c>
      <c r="U36" s="202">
        <v>1375998.97</v>
      </c>
    </row>
    <row r="37" spans="1:21">
      <c r="A37" s="185">
        <f t="shared" si="5"/>
        <v>45397</v>
      </c>
      <c r="B37" s="6"/>
      <c r="C37" s="19">
        <f t="shared" si="12"/>
        <v>47462444.780000016</v>
      </c>
      <c r="D37" s="6">
        <f t="shared" si="10"/>
        <v>31</v>
      </c>
      <c r="E37" s="6">
        <f t="shared" si="2"/>
        <v>4.3055555555555555E-3</v>
      </c>
      <c r="F37" s="19">
        <f t="shared" si="6"/>
        <v>203476.12</v>
      </c>
      <c r="G37" s="6"/>
      <c r="H37" s="19">
        <v>0</v>
      </c>
      <c r="I37" s="202">
        <f t="shared" si="11"/>
        <v>0</v>
      </c>
      <c r="J37" s="6">
        <f t="shared" si="13"/>
        <v>4</v>
      </c>
      <c r="K37" s="6"/>
      <c r="L37" s="6"/>
      <c r="M37" s="185">
        <v>47133</v>
      </c>
      <c r="N37" s="6"/>
      <c r="O37" s="19">
        <v>1359011.3300000054</v>
      </c>
      <c r="P37" s="6">
        <v>31</v>
      </c>
      <c r="Q37" s="6">
        <v>4.3055555555555555E-3</v>
      </c>
      <c r="R37" s="19">
        <v>11702.6</v>
      </c>
      <c r="S37" s="6">
        <v>2</v>
      </c>
      <c r="T37" s="19">
        <v>1359011.34</v>
      </c>
      <c r="U37" s="202">
        <v>1370713.9400000002</v>
      </c>
    </row>
    <row r="38" spans="1:21">
      <c r="A38" s="185">
        <f t="shared" si="5"/>
        <v>45427</v>
      </c>
      <c r="B38" s="6"/>
      <c r="C38" s="19">
        <f t="shared" si="12"/>
        <v>47660204.970000014</v>
      </c>
      <c r="D38" s="6">
        <f t="shared" si="10"/>
        <v>30</v>
      </c>
      <c r="E38" s="6">
        <f t="shared" si="2"/>
        <v>4.1666666666666666E-3</v>
      </c>
      <c r="F38" s="19">
        <f t="shared" si="6"/>
        <v>197760.19</v>
      </c>
      <c r="G38" s="6"/>
      <c r="H38" s="19">
        <v>0</v>
      </c>
      <c r="I38" s="202">
        <f t="shared" si="11"/>
        <v>0</v>
      </c>
      <c r="J38" s="6">
        <f t="shared" si="13"/>
        <v>5</v>
      </c>
      <c r="K38" s="6"/>
      <c r="L38" s="6"/>
      <c r="M38" s="185">
        <v>47164</v>
      </c>
      <c r="N38" s="6"/>
      <c r="O38" s="19">
        <v>5.3551048040390015E-9</v>
      </c>
      <c r="P38" s="6">
        <v>31</v>
      </c>
      <c r="Q38" s="6">
        <v>4.3055555555555555E-3</v>
      </c>
      <c r="R38" s="19">
        <v>5851.3</v>
      </c>
      <c r="S38" s="6">
        <v>1</v>
      </c>
      <c r="T38" s="19">
        <v>1359011.33</v>
      </c>
      <c r="U38" s="202">
        <v>1364862.6300000001</v>
      </c>
    </row>
    <row r="39" spans="1:21">
      <c r="A39" s="185">
        <f t="shared" si="5"/>
        <v>45458</v>
      </c>
      <c r="B39" s="6"/>
      <c r="C39" s="19">
        <f t="shared" si="12"/>
        <v>47865408.63000001</v>
      </c>
      <c r="D39" s="6">
        <f t="shared" si="10"/>
        <v>31</v>
      </c>
      <c r="E39" s="6">
        <f t="shared" si="2"/>
        <v>4.3055555555555555E-3</v>
      </c>
      <c r="F39" s="19">
        <f t="shared" si="6"/>
        <v>205203.66</v>
      </c>
      <c r="G39" s="6"/>
      <c r="H39" s="19">
        <v>0</v>
      </c>
      <c r="I39" s="202">
        <f t="shared" si="11"/>
        <v>0</v>
      </c>
      <c r="J39" s="6">
        <f t="shared" si="13"/>
        <v>6</v>
      </c>
      <c r="K39" s="6"/>
      <c r="L39" s="6"/>
      <c r="M39" s="185"/>
      <c r="N39" s="6"/>
      <c r="O39" s="19"/>
      <c r="P39" s="6"/>
      <c r="Q39" s="6"/>
      <c r="R39" s="19"/>
      <c r="S39" s="6"/>
      <c r="T39" s="19"/>
      <c r="U39" s="202"/>
    </row>
    <row r="40" spans="1:21">
      <c r="A40" s="185">
        <f t="shared" si="5"/>
        <v>45488</v>
      </c>
      <c r="B40" s="6"/>
      <c r="C40" s="19">
        <f t="shared" si="12"/>
        <v>48064847.830000013</v>
      </c>
      <c r="D40" s="6">
        <f t="shared" si="10"/>
        <v>30</v>
      </c>
      <c r="E40" s="6">
        <f t="shared" si="2"/>
        <v>4.1666666666666666E-3</v>
      </c>
      <c r="F40" s="19">
        <f t="shared" si="6"/>
        <v>199439.2</v>
      </c>
      <c r="G40" s="6"/>
      <c r="H40" s="19">
        <v>0</v>
      </c>
      <c r="I40" s="202">
        <f t="shared" si="11"/>
        <v>0</v>
      </c>
      <c r="J40" s="6">
        <f t="shared" si="13"/>
        <v>7</v>
      </c>
      <c r="K40" s="6"/>
      <c r="L40" s="6"/>
      <c r="M40" s="185"/>
      <c r="N40" s="6"/>
      <c r="O40" s="19"/>
      <c r="P40" s="6"/>
      <c r="Q40" s="6"/>
      <c r="R40" s="19"/>
      <c r="S40" s="6"/>
      <c r="T40" s="19"/>
      <c r="U40" s="202"/>
    </row>
    <row r="41" spans="1:21">
      <c r="A41" s="185">
        <f t="shared" si="5"/>
        <v>45519</v>
      </c>
      <c r="B41" s="6"/>
      <c r="C41" s="19">
        <f t="shared" si="12"/>
        <v>48271793.70000001</v>
      </c>
      <c r="D41" s="6">
        <f t="shared" si="10"/>
        <v>31</v>
      </c>
      <c r="E41" s="6">
        <f t="shared" si="2"/>
        <v>4.3055555555555555E-3</v>
      </c>
      <c r="F41" s="19">
        <f t="shared" si="6"/>
        <v>206945.87</v>
      </c>
      <c r="G41" s="6"/>
      <c r="H41" s="19">
        <v>0</v>
      </c>
      <c r="I41" s="202">
        <f t="shared" si="11"/>
        <v>0</v>
      </c>
      <c r="J41" s="6">
        <f t="shared" si="13"/>
        <v>8</v>
      </c>
      <c r="K41" s="6"/>
      <c r="L41" s="6"/>
      <c r="M41" s="185"/>
      <c r="N41" s="6"/>
      <c r="O41" s="19"/>
      <c r="P41" s="6"/>
      <c r="Q41" s="6"/>
      <c r="R41" s="19"/>
      <c r="S41" s="6"/>
      <c r="T41" s="19"/>
      <c r="U41" s="202"/>
    </row>
    <row r="42" spans="1:21">
      <c r="A42" s="185">
        <f t="shared" si="5"/>
        <v>45550</v>
      </c>
      <c r="B42" s="6"/>
      <c r="C42" s="19">
        <f t="shared" si="12"/>
        <v>48479630.590000011</v>
      </c>
      <c r="D42" s="6">
        <f t="shared" si="10"/>
        <v>31</v>
      </c>
      <c r="E42" s="6">
        <f t="shared" si="2"/>
        <v>4.3055555555555555E-3</v>
      </c>
      <c r="F42" s="19">
        <f t="shared" si="6"/>
        <v>207836.89</v>
      </c>
      <c r="G42" s="6"/>
      <c r="H42" s="19">
        <v>0</v>
      </c>
      <c r="I42" s="202">
        <f t="shared" si="11"/>
        <v>0</v>
      </c>
      <c r="J42" s="6">
        <f t="shared" si="13"/>
        <v>9</v>
      </c>
      <c r="K42" s="6"/>
      <c r="L42" s="6"/>
      <c r="M42" s="185"/>
      <c r="N42" s="6"/>
      <c r="O42" s="19"/>
      <c r="P42" s="6"/>
      <c r="Q42" s="6"/>
      <c r="R42" s="19"/>
      <c r="S42" s="6"/>
      <c r="T42" s="19"/>
      <c r="U42" s="202"/>
    </row>
    <row r="43" spans="1:21">
      <c r="A43" s="185">
        <f t="shared" si="5"/>
        <v>45580</v>
      </c>
      <c r="B43" s="6"/>
      <c r="C43" s="19">
        <f t="shared" si="12"/>
        <v>48681629.050000012</v>
      </c>
      <c r="D43" s="6">
        <f t="shared" si="10"/>
        <v>30</v>
      </c>
      <c r="E43" s="6">
        <f t="shared" si="2"/>
        <v>4.1666666666666666E-3</v>
      </c>
      <c r="F43" s="19">
        <f t="shared" si="6"/>
        <v>201998.46</v>
      </c>
      <c r="G43" s="6"/>
      <c r="H43" s="19">
        <v>0</v>
      </c>
      <c r="I43" s="202">
        <f t="shared" si="11"/>
        <v>0</v>
      </c>
      <c r="J43" s="6">
        <f t="shared" si="13"/>
        <v>10</v>
      </c>
      <c r="K43" s="6"/>
      <c r="L43" s="6"/>
      <c r="M43" s="185"/>
      <c r="N43" s="6"/>
      <c r="O43" s="19"/>
      <c r="P43" s="6"/>
      <c r="Q43" s="6"/>
      <c r="R43" s="19"/>
      <c r="S43" s="6"/>
      <c r="T43" s="19"/>
      <c r="U43" s="202"/>
    </row>
    <row r="44" spans="1:21">
      <c r="A44" s="185">
        <f t="shared" si="5"/>
        <v>45611</v>
      </c>
      <c r="B44" s="6"/>
      <c r="C44" s="19">
        <f t="shared" si="12"/>
        <v>48891230.510000013</v>
      </c>
      <c r="D44" s="6">
        <f t="shared" si="10"/>
        <v>31</v>
      </c>
      <c r="E44" s="6">
        <f t="shared" si="2"/>
        <v>4.3055555555555555E-3</v>
      </c>
      <c r="F44" s="19">
        <f t="shared" si="6"/>
        <v>209601.46</v>
      </c>
      <c r="G44" s="6"/>
      <c r="H44" s="19">
        <v>0</v>
      </c>
      <c r="I44" s="202">
        <f t="shared" si="11"/>
        <v>0</v>
      </c>
      <c r="J44" s="6">
        <f t="shared" si="13"/>
        <v>11</v>
      </c>
      <c r="K44" s="6"/>
      <c r="L44" s="6"/>
      <c r="M44" s="185"/>
      <c r="N44" s="6"/>
      <c r="O44" s="19"/>
      <c r="P44" s="6"/>
      <c r="Q44" s="6"/>
      <c r="R44" s="19"/>
      <c r="S44" s="6"/>
      <c r="T44" s="19"/>
      <c r="U44" s="202"/>
    </row>
    <row r="45" spans="1:21">
      <c r="A45" s="185">
        <f t="shared" si="5"/>
        <v>45641</v>
      </c>
      <c r="B45" s="6"/>
      <c r="C45" s="19">
        <f t="shared" si="12"/>
        <v>49094943.970000014</v>
      </c>
      <c r="D45" s="6">
        <f t="shared" si="10"/>
        <v>30</v>
      </c>
      <c r="E45" s="6">
        <f t="shared" si="2"/>
        <v>4.1666666666666666E-3</v>
      </c>
      <c r="F45" s="19">
        <f t="shared" si="6"/>
        <v>203713.46</v>
      </c>
      <c r="G45" s="6"/>
      <c r="H45" s="19">
        <v>0</v>
      </c>
      <c r="I45" s="202">
        <f t="shared" si="11"/>
        <v>0</v>
      </c>
      <c r="J45" s="6">
        <f t="shared" si="13"/>
        <v>12</v>
      </c>
      <c r="K45" s="6"/>
      <c r="L45" s="6"/>
      <c r="M45" s="185"/>
      <c r="N45" s="6"/>
      <c r="O45" s="19"/>
      <c r="P45" s="6"/>
      <c r="Q45" s="6"/>
      <c r="R45" s="19"/>
      <c r="S45" s="6"/>
      <c r="T45" s="19"/>
      <c r="U45" s="202"/>
    </row>
    <row r="46" spans="1:21">
      <c r="A46" s="185">
        <f t="shared" si="5"/>
        <v>45672</v>
      </c>
      <c r="B46" s="6"/>
      <c r="C46" s="19">
        <f t="shared" si="12"/>
        <v>49306324.980000012</v>
      </c>
      <c r="D46" s="6">
        <f t="shared" si="10"/>
        <v>31</v>
      </c>
      <c r="E46" s="6">
        <f t="shared" si="2"/>
        <v>4.3055555555555555E-3</v>
      </c>
      <c r="F46" s="19">
        <f t="shared" si="6"/>
        <v>211381.01</v>
      </c>
      <c r="G46" s="6"/>
      <c r="H46" s="19">
        <v>0</v>
      </c>
      <c r="I46" s="202">
        <f t="shared" si="11"/>
        <v>0</v>
      </c>
      <c r="J46" s="6">
        <f t="shared" si="13"/>
        <v>13</v>
      </c>
      <c r="K46" s="6"/>
      <c r="L46" s="6"/>
      <c r="M46" s="185"/>
      <c r="N46" s="6"/>
      <c r="O46" s="19"/>
      <c r="P46" s="6"/>
      <c r="Q46" s="6"/>
      <c r="R46" s="19"/>
      <c r="S46" s="6"/>
      <c r="T46" s="19"/>
      <c r="U46" s="202"/>
    </row>
    <row r="47" spans="1:21">
      <c r="A47" s="185">
        <f t="shared" si="5"/>
        <v>45703</v>
      </c>
      <c r="B47" s="6"/>
      <c r="C47" s="19">
        <f t="shared" si="12"/>
        <v>49518616.100000009</v>
      </c>
      <c r="D47" s="6">
        <f t="shared" si="10"/>
        <v>31</v>
      </c>
      <c r="E47" s="6">
        <f t="shared" si="2"/>
        <v>4.3055555555555555E-3</v>
      </c>
      <c r="F47" s="19">
        <f t="shared" si="6"/>
        <v>212291.12</v>
      </c>
      <c r="G47" s="6"/>
      <c r="H47" s="19">
        <v>0</v>
      </c>
      <c r="I47" s="202">
        <f t="shared" si="11"/>
        <v>0</v>
      </c>
      <c r="J47" s="6">
        <f t="shared" si="13"/>
        <v>14</v>
      </c>
      <c r="K47" s="6"/>
      <c r="L47" s="6"/>
      <c r="M47" s="185"/>
      <c r="N47" s="6"/>
      <c r="O47" s="19"/>
      <c r="P47" s="6"/>
      <c r="Q47" s="6"/>
      <c r="R47" s="19"/>
      <c r="S47" s="6"/>
      <c r="T47" s="19"/>
      <c r="U47" s="202"/>
    </row>
    <row r="48" spans="1:21">
      <c r="A48" s="185">
        <f t="shared" si="5"/>
        <v>45731</v>
      </c>
      <c r="B48" s="6"/>
      <c r="C48" s="19">
        <f t="shared" si="12"/>
        <v>49711188.500000007</v>
      </c>
      <c r="D48" s="6">
        <f t="shared" si="10"/>
        <v>28</v>
      </c>
      <c r="E48" s="6">
        <f t="shared" si="2"/>
        <v>3.8888888888888892E-3</v>
      </c>
      <c r="F48" s="19">
        <f t="shared" si="6"/>
        <v>192572.4</v>
      </c>
      <c r="G48" s="6"/>
      <c r="H48" s="19">
        <v>0</v>
      </c>
      <c r="I48" s="202">
        <f t="shared" si="11"/>
        <v>0</v>
      </c>
      <c r="J48" s="6">
        <f t="shared" si="13"/>
        <v>15</v>
      </c>
      <c r="K48" s="6"/>
      <c r="L48" s="6"/>
      <c r="M48" s="185"/>
      <c r="N48" s="6"/>
      <c r="O48" s="19"/>
      <c r="P48" s="6"/>
      <c r="Q48" s="6"/>
      <c r="R48" s="19"/>
      <c r="S48" s="6"/>
      <c r="T48" s="19"/>
      <c r="U48" s="202"/>
    </row>
    <row r="49" spans="1:21">
      <c r="A49" s="185">
        <f t="shared" si="5"/>
        <v>45762</v>
      </c>
      <c r="B49" s="6"/>
      <c r="C49" s="19">
        <f t="shared" si="12"/>
        <v>49925222.780000009</v>
      </c>
      <c r="D49" s="6">
        <f t="shared" si="10"/>
        <v>31</v>
      </c>
      <c r="E49" s="6">
        <f t="shared" si="2"/>
        <v>4.3055555555555555E-3</v>
      </c>
      <c r="F49" s="19">
        <f t="shared" si="6"/>
        <v>214034.28</v>
      </c>
      <c r="G49" s="6"/>
      <c r="H49" s="19">
        <v>0</v>
      </c>
      <c r="I49" s="202">
        <f t="shared" si="11"/>
        <v>0</v>
      </c>
      <c r="J49" s="6">
        <f t="shared" si="13"/>
        <v>16</v>
      </c>
      <c r="K49" s="6"/>
      <c r="L49" s="6"/>
      <c r="M49" s="185"/>
      <c r="N49" s="6"/>
      <c r="O49" s="19"/>
      <c r="P49" s="6"/>
      <c r="Q49" s="6"/>
      <c r="R49" s="19"/>
      <c r="S49" s="6"/>
      <c r="T49" s="19"/>
      <c r="U49" s="202"/>
    </row>
    <row r="50" spans="1:21">
      <c r="A50" s="185">
        <f t="shared" si="5"/>
        <v>45792</v>
      </c>
      <c r="B50" s="6"/>
      <c r="C50" s="19">
        <f t="shared" si="12"/>
        <v>50133244.540000007</v>
      </c>
      <c r="D50" s="6">
        <f t="shared" si="10"/>
        <v>30</v>
      </c>
      <c r="E50" s="6">
        <f t="shared" si="2"/>
        <v>4.1666666666666666E-3</v>
      </c>
      <c r="F50" s="19">
        <f t="shared" si="6"/>
        <v>208021.76000000001</v>
      </c>
      <c r="G50" s="6"/>
      <c r="H50" s="19">
        <v>0</v>
      </c>
      <c r="I50" s="202">
        <f t="shared" si="11"/>
        <v>0</v>
      </c>
      <c r="J50" s="6">
        <f t="shared" si="13"/>
        <v>17</v>
      </c>
      <c r="K50" s="6"/>
      <c r="L50" s="6"/>
      <c r="M50" s="185"/>
      <c r="N50" s="6"/>
      <c r="O50" s="19"/>
      <c r="P50" s="6"/>
      <c r="Q50" s="6"/>
      <c r="R50" s="19"/>
      <c r="S50" s="6"/>
      <c r="T50" s="19"/>
      <c r="U50" s="202"/>
    </row>
    <row r="51" spans="1:21">
      <c r="A51" s="185">
        <f t="shared" si="5"/>
        <v>45823</v>
      </c>
      <c r="B51" s="6"/>
      <c r="C51" s="19">
        <f t="shared" si="12"/>
        <v>50349096.010000005</v>
      </c>
      <c r="D51" s="6">
        <f t="shared" si="10"/>
        <v>31</v>
      </c>
      <c r="E51" s="6">
        <f t="shared" si="2"/>
        <v>4.3055555555555555E-3</v>
      </c>
      <c r="F51" s="19">
        <f t="shared" si="6"/>
        <v>215851.47</v>
      </c>
      <c r="G51" s="6"/>
      <c r="H51" s="19">
        <v>0</v>
      </c>
      <c r="I51" s="202">
        <f t="shared" si="11"/>
        <v>0</v>
      </c>
      <c r="J51" s="6">
        <f t="shared" si="13"/>
        <v>18</v>
      </c>
      <c r="K51" s="6"/>
      <c r="L51" s="6"/>
      <c r="M51" s="185"/>
      <c r="N51" s="6"/>
      <c r="O51" s="19"/>
      <c r="P51" s="6"/>
      <c r="Q51" s="6"/>
      <c r="R51" s="19"/>
      <c r="S51" s="6"/>
      <c r="T51" s="19"/>
      <c r="U51" s="202"/>
    </row>
    <row r="52" spans="1:21">
      <c r="A52" s="185">
        <f t="shared" si="5"/>
        <v>45853</v>
      </c>
      <c r="B52" s="6"/>
      <c r="C52" s="19">
        <f t="shared" si="12"/>
        <v>50558883.910000004</v>
      </c>
      <c r="D52" s="6">
        <f t="shared" si="10"/>
        <v>30</v>
      </c>
      <c r="E52" s="6">
        <f t="shared" si="2"/>
        <v>4.1666666666666666E-3</v>
      </c>
      <c r="F52" s="19">
        <f t="shared" si="6"/>
        <v>209787.9</v>
      </c>
      <c r="G52" s="6"/>
      <c r="H52" s="19">
        <v>0</v>
      </c>
      <c r="I52" s="202">
        <f t="shared" si="11"/>
        <v>0</v>
      </c>
      <c r="J52" s="6">
        <f t="shared" si="13"/>
        <v>19</v>
      </c>
      <c r="K52" s="6"/>
      <c r="L52" s="6"/>
      <c r="M52" s="185"/>
      <c r="N52" s="6"/>
      <c r="O52" s="19"/>
      <c r="P52" s="6"/>
      <c r="Q52" s="6"/>
      <c r="R52" s="19"/>
      <c r="S52" s="6"/>
      <c r="T52" s="19"/>
      <c r="U52" s="202"/>
    </row>
    <row r="53" spans="1:21">
      <c r="A53" s="185">
        <f t="shared" si="5"/>
        <v>45884</v>
      </c>
      <c r="B53" s="6"/>
      <c r="C53" s="19">
        <f t="shared" si="12"/>
        <v>50776567.990000002</v>
      </c>
      <c r="D53" s="6">
        <f t="shared" si="10"/>
        <v>31</v>
      </c>
      <c r="E53" s="6">
        <f t="shared" si="2"/>
        <v>4.3055555555555555E-3</v>
      </c>
      <c r="F53" s="19">
        <f t="shared" si="6"/>
        <v>217684.08</v>
      </c>
      <c r="G53" s="6"/>
      <c r="H53" s="19">
        <v>0</v>
      </c>
      <c r="I53" s="202">
        <f t="shared" si="11"/>
        <v>0</v>
      </c>
      <c r="J53" s="6">
        <f t="shared" si="13"/>
        <v>20</v>
      </c>
      <c r="K53" s="6"/>
      <c r="L53" s="6"/>
      <c r="M53" s="185"/>
      <c r="N53" s="6"/>
      <c r="O53" s="19"/>
      <c r="P53" s="6"/>
      <c r="Q53" s="6"/>
      <c r="R53" s="19"/>
      <c r="S53" s="6"/>
      <c r="T53" s="19"/>
      <c r="U53" s="202"/>
    </row>
    <row r="54" spans="1:21">
      <c r="A54" s="185">
        <f t="shared" si="5"/>
        <v>45915</v>
      </c>
      <c r="B54" s="6"/>
      <c r="C54" s="19">
        <f t="shared" si="12"/>
        <v>50995189.32</v>
      </c>
      <c r="D54" s="6">
        <f t="shared" si="10"/>
        <v>31</v>
      </c>
      <c r="E54" s="6">
        <f t="shared" si="2"/>
        <v>4.3055555555555555E-3</v>
      </c>
      <c r="F54" s="19">
        <f t="shared" si="6"/>
        <v>218621.33</v>
      </c>
      <c r="G54" s="6"/>
      <c r="H54" s="19">
        <v>0</v>
      </c>
      <c r="I54" s="202">
        <f t="shared" si="11"/>
        <v>0</v>
      </c>
      <c r="J54" s="6">
        <f t="shared" si="13"/>
        <v>21</v>
      </c>
      <c r="K54" s="6"/>
      <c r="L54" s="6"/>
      <c r="M54" s="185"/>
      <c r="N54" s="6"/>
      <c r="O54" s="19"/>
      <c r="P54" s="6"/>
      <c r="Q54" s="6"/>
      <c r="R54" s="19"/>
      <c r="S54" s="6"/>
      <c r="T54" s="19"/>
      <c r="U54" s="202"/>
    </row>
    <row r="55" spans="1:21">
      <c r="A55" s="185">
        <f t="shared" si="5"/>
        <v>45945</v>
      </c>
      <c r="B55" s="6"/>
      <c r="C55" s="19">
        <f t="shared" si="12"/>
        <v>51207669.280000001</v>
      </c>
      <c r="D55" s="6">
        <f t="shared" si="10"/>
        <v>30</v>
      </c>
      <c r="E55" s="6">
        <f t="shared" si="2"/>
        <v>4.1666666666666666E-3</v>
      </c>
      <c r="F55" s="19">
        <f t="shared" si="6"/>
        <v>212479.96</v>
      </c>
      <c r="G55" s="6"/>
      <c r="H55" s="19">
        <v>0</v>
      </c>
      <c r="I55" s="202">
        <f t="shared" si="11"/>
        <v>0</v>
      </c>
      <c r="J55" s="6">
        <f t="shared" si="13"/>
        <v>22</v>
      </c>
      <c r="K55" s="6"/>
      <c r="L55" s="6"/>
      <c r="M55" s="185"/>
      <c r="N55" s="6"/>
      <c r="O55" s="19"/>
      <c r="P55" s="6"/>
      <c r="Q55" s="6"/>
      <c r="R55" s="19"/>
      <c r="S55" s="6"/>
      <c r="T55" s="19"/>
      <c r="U55" s="202"/>
    </row>
    <row r="56" spans="1:21">
      <c r="A56" s="185">
        <f t="shared" si="5"/>
        <v>45976</v>
      </c>
      <c r="B56" s="6"/>
      <c r="C56" s="19">
        <f t="shared" si="12"/>
        <v>51428146.740000002</v>
      </c>
      <c r="D56" s="6">
        <f t="shared" si="10"/>
        <v>31</v>
      </c>
      <c r="E56" s="6">
        <f t="shared" si="2"/>
        <v>4.3055555555555555E-3</v>
      </c>
      <c r="F56" s="19">
        <f t="shared" si="6"/>
        <v>220477.46</v>
      </c>
      <c r="G56" s="6"/>
      <c r="H56" s="19">
        <v>0</v>
      </c>
      <c r="I56" s="202">
        <f t="shared" si="11"/>
        <v>0</v>
      </c>
      <c r="J56" s="6">
        <f t="shared" si="13"/>
        <v>23</v>
      </c>
      <c r="K56" s="6"/>
      <c r="L56" s="6"/>
      <c r="M56" s="185"/>
      <c r="N56" s="6"/>
      <c r="O56" s="19"/>
      <c r="P56" s="6"/>
      <c r="Q56" s="6"/>
      <c r="R56" s="19"/>
      <c r="S56" s="6"/>
      <c r="T56" s="19"/>
      <c r="U56" s="202"/>
    </row>
    <row r="57" spans="1:21">
      <c r="A57" s="185">
        <f t="shared" si="5"/>
        <v>46006</v>
      </c>
      <c r="B57" s="6"/>
      <c r="C57" s="19">
        <f t="shared" si="12"/>
        <v>51642430.68</v>
      </c>
      <c r="D57" s="6">
        <f t="shared" si="10"/>
        <v>30</v>
      </c>
      <c r="E57" s="6">
        <f t="shared" si="2"/>
        <v>4.1666666666666666E-3</v>
      </c>
      <c r="F57" s="19">
        <f t="shared" si="6"/>
        <v>214283.94</v>
      </c>
      <c r="G57" s="6"/>
      <c r="H57" s="19">
        <v>0</v>
      </c>
      <c r="I57" s="202">
        <f t="shared" si="11"/>
        <v>0</v>
      </c>
      <c r="J57" s="6">
        <f t="shared" si="13"/>
        <v>24</v>
      </c>
      <c r="K57" s="6"/>
      <c r="L57" s="6"/>
      <c r="M57" s="185"/>
      <c r="N57" s="6"/>
      <c r="O57" s="19"/>
      <c r="P57" s="6"/>
      <c r="Q57" s="6"/>
      <c r="R57" s="19"/>
      <c r="S57" s="6"/>
      <c r="T57" s="19"/>
      <c r="U57" s="202"/>
    </row>
    <row r="58" spans="1:21">
      <c r="A58" s="80">
        <f t="shared" si="5"/>
        <v>46037</v>
      </c>
      <c r="B58" s="86"/>
      <c r="C58" s="81">
        <f t="shared" si="1"/>
        <v>50283419.350000001</v>
      </c>
      <c r="D58" s="86">
        <f t="shared" si="10"/>
        <v>31</v>
      </c>
      <c r="E58" s="86">
        <f t="shared" si="2"/>
        <v>4.3055555555555555E-3</v>
      </c>
      <c r="F58" s="81">
        <f>ROUND(E58*C57,2)</f>
        <v>222349.35</v>
      </c>
      <c r="G58" s="86">
        <f>G32-1+24</f>
        <v>38</v>
      </c>
      <c r="H58" s="81">
        <f>ROUND(C57/G58,2)</f>
        <v>1359011.33</v>
      </c>
      <c r="I58" s="81">
        <f t="shared" si="4"/>
        <v>1581360.6800000002</v>
      </c>
      <c r="J58" s="240" t="s">
        <v>229</v>
      </c>
      <c r="K58" s="240"/>
      <c r="L58" s="240"/>
      <c r="M58" s="185"/>
      <c r="N58" s="6"/>
      <c r="O58" s="19"/>
      <c r="P58" s="6"/>
      <c r="Q58" s="6"/>
      <c r="R58" s="19"/>
      <c r="S58" s="6"/>
      <c r="T58" s="19"/>
      <c r="U58" s="202"/>
    </row>
    <row r="59" spans="1:21">
      <c r="A59" s="185">
        <f t="shared" si="5"/>
        <v>46068</v>
      </c>
      <c r="B59" s="6"/>
      <c r="C59" s="19">
        <f t="shared" si="1"/>
        <v>48924408.020000003</v>
      </c>
      <c r="D59" s="6">
        <f t="shared" si="10"/>
        <v>31</v>
      </c>
      <c r="E59" s="6">
        <f t="shared" si="2"/>
        <v>4.3055555555555555E-3</v>
      </c>
      <c r="F59" s="19">
        <f>ROUND(E59*C58,2)</f>
        <v>216498.06</v>
      </c>
      <c r="G59" s="6">
        <f t="shared" ref="G59:G95" si="14">G58-1</f>
        <v>37</v>
      </c>
      <c r="H59" s="19">
        <f t="shared" si="3"/>
        <v>1359011.33</v>
      </c>
      <c r="I59" s="202">
        <f t="shared" si="4"/>
        <v>1575509.3900000001</v>
      </c>
      <c r="J59" s="6"/>
      <c r="K59" s="6"/>
      <c r="L59" s="6"/>
      <c r="M59" s="185"/>
      <c r="N59" s="6"/>
      <c r="O59" s="19"/>
      <c r="P59" s="6"/>
      <c r="Q59" s="6"/>
      <c r="R59" s="19"/>
      <c r="S59" s="6"/>
      <c r="T59" s="19"/>
      <c r="U59" s="202"/>
    </row>
    <row r="60" spans="1:21">
      <c r="A60" s="185">
        <f t="shared" si="5"/>
        <v>46096</v>
      </c>
      <c r="B60" s="6"/>
      <c r="C60" s="19">
        <f t="shared" si="1"/>
        <v>47565396.690000005</v>
      </c>
      <c r="D60" s="6">
        <f t="shared" si="10"/>
        <v>28</v>
      </c>
      <c r="E60" s="6">
        <f t="shared" si="2"/>
        <v>3.8888888888888892E-3</v>
      </c>
      <c r="F60" s="19">
        <f>ROUND(E60*C59,2)</f>
        <v>190261.59</v>
      </c>
      <c r="G60" s="6">
        <f t="shared" si="14"/>
        <v>36</v>
      </c>
      <c r="H60" s="19">
        <f t="shared" si="3"/>
        <v>1359011.33</v>
      </c>
      <c r="I60" s="202">
        <f t="shared" si="4"/>
        <v>1549272.9200000002</v>
      </c>
      <c r="J60" s="6"/>
      <c r="K60" s="6"/>
      <c r="L60" s="6"/>
      <c r="M60" s="185"/>
      <c r="N60" s="6"/>
      <c r="O60" s="19"/>
      <c r="P60" s="6"/>
      <c r="Q60" s="6"/>
      <c r="R60" s="19"/>
      <c r="S60" s="6"/>
      <c r="T60" s="19"/>
      <c r="U60" s="202"/>
    </row>
    <row r="61" spans="1:21">
      <c r="A61" s="185">
        <f t="shared" si="5"/>
        <v>46127</v>
      </c>
      <c r="B61" s="6"/>
      <c r="C61" s="19">
        <f t="shared" si="1"/>
        <v>46206385.360000007</v>
      </c>
      <c r="D61" s="6">
        <f t="shared" si="10"/>
        <v>31</v>
      </c>
      <c r="E61" s="6">
        <f t="shared" si="2"/>
        <v>4.3055555555555555E-3</v>
      </c>
      <c r="F61" s="19">
        <f>ROUND(E61*C60,2)</f>
        <v>204795.46</v>
      </c>
      <c r="G61" s="6">
        <f t="shared" si="14"/>
        <v>35</v>
      </c>
      <c r="H61" s="19">
        <f t="shared" si="3"/>
        <v>1359011.33</v>
      </c>
      <c r="I61" s="202">
        <f t="shared" si="4"/>
        <v>1563806.79</v>
      </c>
      <c r="J61" s="6"/>
      <c r="K61" s="6"/>
      <c r="L61" s="6"/>
      <c r="M61" s="185"/>
      <c r="N61" s="6"/>
      <c r="O61" s="19"/>
      <c r="P61" s="6"/>
      <c r="Q61" s="6"/>
      <c r="R61" s="19"/>
      <c r="S61" s="6"/>
      <c r="T61" s="19"/>
      <c r="U61" s="202"/>
    </row>
    <row r="62" spans="1:21">
      <c r="A62" s="185">
        <f t="shared" si="5"/>
        <v>46157</v>
      </c>
      <c r="B62" s="6"/>
      <c r="C62" s="19">
        <f t="shared" si="1"/>
        <v>44847374.030000009</v>
      </c>
      <c r="D62" s="6">
        <f t="shared" si="10"/>
        <v>30</v>
      </c>
      <c r="E62" s="6">
        <f t="shared" si="2"/>
        <v>4.1666666666666666E-3</v>
      </c>
      <c r="F62" s="19">
        <f>ROUND(E62*C61,2)</f>
        <v>192526.61</v>
      </c>
      <c r="G62" s="6">
        <f t="shared" si="14"/>
        <v>34</v>
      </c>
      <c r="H62" s="19">
        <f t="shared" si="3"/>
        <v>1359011.33</v>
      </c>
      <c r="I62" s="202">
        <f t="shared" si="4"/>
        <v>1551537.94</v>
      </c>
      <c r="J62" s="6"/>
      <c r="K62" s="6"/>
      <c r="L62" s="6"/>
      <c r="M62" s="185"/>
      <c r="N62" s="6"/>
      <c r="O62" s="19"/>
      <c r="P62" s="6"/>
      <c r="Q62" s="6"/>
      <c r="R62" s="19"/>
      <c r="S62" s="6"/>
      <c r="T62" s="19"/>
      <c r="U62" s="202"/>
    </row>
    <row r="63" spans="1:21">
      <c r="A63" s="185">
        <f t="shared" si="5"/>
        <v>46188</v>
      </c>
      <c r="B63" s="6"/>
      <c r="C63" s="19">
        <f t="shared" si="1"/>
        <v>43488362.70000001</v>
      </c>
      <c r="D63" s="6">
        <f t="shared" si="10"/>
        <v>31</v>
      </c>
      <c r="E63" s="6">
        <f t="shared" si="2"/>
        <v>4.3055555555555555E-3</v>
      </c>
      <c r="F63" s="19">
        <f t="shared" si="6"/>
        <v>193092.86</v>
      </c>
      <c r="G63" s="6">
        <f t="shared" si="14"/>
        <v>33</v>
      </c>
      <c r="H63" s="19">
        <f t="shared" si="3"/>
        <v>1359011.33</v>
      </c>
      <c r="I63" s="202">
        <f t="shared" si="4"/>
        <v>1552104.19</v>
      </c>
      <c r="J63" s="6"/>
      <c r="K63" s="6"/>
      <c r="L63" s="6"/>
      <c r="M63" s="185"/>
      <c r="N63" s="6"/>
      <c r="O63" s="19"/>
      <c r="P63" s="6"/>
      <c r="Q63" s="6"/>
      <c r="R63" s="19"/>
      <c r="S63" s="6"/>
      <c r="T63" s="19"/>
      <c r="U63" s="202"/>
    </row>
    <row r="64" spans="1:21">
      <c r="A64" s="185">
        <f t="shared" si="5"/>
        <v>46218</v>
      </c>
      <c r="B64" s="6"/>
      <c r="C64" s="19">
        <f t="shared" si="1"/>
        <v>42129351.370000012</v>
      </c>
      <c r="D64" s="6">
        <f t="shared" si="10"/>
        <v>30</v>
      </c>
      <c r="E64" s="6">
        <f t="shared" si="2"/>
        <v>4.1666666666666666E-3</v>
      </c>
      <c r="F64" s="19">
        <f t="shared" si="6"/>
        <v>181201.51</v>
      </c>
      <c r="G64" s="6">
        <f t="shared" si="14"/>
        <v>32</v>
      </c>
      <c r="H64" s="19">
        <f t="shared" si="3"/>
        <v>1359011.33</v>
      </c>
      <c r="I64" s="202">
        <f t="shared" si="4"/>
        <v>1540212.84</v>
      </c>
      <c r="J64" s="6"/>
      <c r="K64" s="6"/>
      <c r="L64" s="6"/>
      <c r="M64" s="185"/>
      <c r="N64" s="6"/>
      <c r="O64" s="19"/>
      <c r="P64" s="6"/>
      <c r="Q64" s="6"/>
      <c r="R64" s="19"/>
      <c r="S64" s="6"/>
      <c r="T64" s="19"/>
      <c r="U64" s="202"/>
    </row>
    <row r="65" spans="1:21">
      <c r="A65" s="185">
        <f t="shared" si="5"/>
        <v>46249</v>
      </c>
      <c r="B65" s="6"/>
      <c r="C65" s="19">
        <f t="shared" si="1"/>
        <v>40770340.040000014</v>
      </c>
      <c r="D65" s="6">
        <f t="shared" si="10"/>
        <v>31</v>
      </c>
      <c r="E65" s="6">
        <f t="shared" si="2"/>
        <v>4.3055555555555555E-3</v>
      </c>
      <c r="F65" s="19">
        <f t="shared" si="6"/>
        <v>181390.26</v>
      </c>
      <c r="G65" s="6">
        <f t="shared" si="14"/>
        <v>31</v>
      </c>
      <c r="H65" s="19">
        <f t="shared" si="3"/>
        <v>1359011.33</v>
      </c>
      <c r="I65" s="202">
        <f t="shared" si="4"/>
        <v>1540401.59</v>
      </c>
      <c r="J65" s="6"/>
      <c r="K65" s="6"/>
      <c r="L65" s="6"/>
      <c r="M65" s="185"/>
      <c r="N65" s="6"/>
      <c r="O65" s="19"/>
      <c r="P65" s="6"/>
      <c r="Q65" s="6"/>
      <c r="R65" s="19"/>
      <c r="S65" s="6"/>
      <c r="T65" s="19"/>
      <c r="U65" s="202"/>
    </row>
    <row r="66" spans="1:21">
      <c r="A66" s="185">
        <f t="shared" si="5"/>
        <v>46280</v>
      </c>
      <c r="B66" s="6"/>
      <c r="C66" s="19">
        <f t="shared" si="1"/>
        <v>39411328.710000016</v>
      </c>
      <c r="D66" s="6">
        <f t="shared" si="10"/>
        <v>31</v>
      </c>
      <c r="E66" s="6">
        <f t="shared" si="2"/>
        <v>4.3055555555555555E-3</v>
      </c>
      <c r="F66" s="19">
        <f t="shared" si="6"/>
        <v>175538.96</v>
      </c>
      <c r="G66" s="6">
        <f t="shared" si="14"/>
        <v>30</v>
      </c>
      <c r="H66" s="19">
        <f t="shared" si="3"/>
        <v>1359011.33</v>
      </c>
      <c r="I66" s="202">
        <f t="shared" si="4"/>
        <v>1534550.29</v>
      </c>
      <c r="J66" s="6"/>
      <c r="K66" s="6"/>
      <c r="L66" s="6"/>
      <c r="M66" s="185"/>
      <c r="N66" s="6"/>
      <c r="O66" s="19"/>
      <c r="P66" s="6"/>
      <c r="Q66" s="6"/>
      <c r="R66" s="19"/>
      <c r="S66" s="6"/>
      <c r="T66" s="19"/>
      <c r="U66" s="202"/>
    </row>
    <row r="67" spans="1:21">
      <c r="A67" s="185">
        <f t="shared" si="5"/>
        <v>46310</v>
      </c>
      <c r="B67" s="6"/>
      <c r="C67" s="19">
        <f t="shared" si="1"/>
        <v>38052317.380000018</v>
      </c>
      <c r="D67" s="6">
        <f t="shared" ref="D67:D95" si="15">A67-A66</f>
        <v>30</v>
      </c>
      <c r="E67" s="6">
        <f t="shared" si="2"/>
        <v>4.1666666666666666E-3</v>
      </c>
      <c r="F67" s="19">
        <f t="shared" si="6"/>
        <v>164213.87</v>
      </c>
      <c r="G67" s="6">
        <f t="shared" si="14"/>
        <v>29</v>
      </c>
      <c r="H67" s="19">
        <f t="shared" si="3"/>
        <v>1359011.33</v>
      </c>
      <c r="I67" s="202">
        <f t="shared" si="4"/>
        <v>1523225.2000000002</v>
      </c>
      <c r="J67" s="6"/>
      <c r="K67" s="6"/>
      <c r="L67" s="6"/>
      <c r="M67" s="80"/>
      <c r="N67" s="228"/>
      <c r="O67" s="18"/>
      <c r="P67" s="228"/>
      <c r="Q67" s="228"/>
      <c r="R67" s="18"/>
      <c r="S67" s="228"/>
      <c r="T67" s="18"/>
      <c r="U67" s="81"/>
    </row>
    <row r="68" spans="1:21">
      <c r="A68" s="185">
        <f t="shared" si="5"/>
        <v>46341</v>
      </c>
      <c r="B68" s="6"/>
      <c r="C68" s="19">
        <f t="shared" si="1"/>
        <v>36693306.040000014</v>
      </c>
      <c r="D68" s="6">
        <f t="shared" si="15"/>
        <v>31</v>
      </c>
      <c r="E68" s="6">
        <f t="shared" si="2"/>
        <v>4.3055555555555555E-3</v>
      </c>
      <c r="F68" s="19">
        <f t="shared" si="6"/>
        <v>163836.37</v>
      </c>
      <c r="G68" s="6">
        <f t="shared" si="14"/>
        <v>28</v>
      </c>
      <c r="H68" s="19">
        <f t="shared" si="3"/>
        <v>1359011.34</v>
      </c>
      <c r="I68" s="202">
        <f t="shared" si="4"/>
        <v>1522847.71</v>
      </c>
      <c r="J68" s="6"/>
      <c r="K68" s="6"/>
      <c r="L68" s="6"/>
    </row>
    <row r="69" spans="1:21">
      <c r="A69" s="185">
        <f t="shared" si="5"/>
        <v>46371</v>
      </c>
      <c r="B69" s="6"/>
      <c r="C69" s="19">
        <f t="shared" si="1"/>
        <v>35334294.710000016</v>
      </c>
      <c r="D69" s="6">
        <f t="shared" si="15"/>
        <v>30</v>
      </c>
      <c r="E69" s="6">
        <f t="shared" si="2"/>
        <v>4.1666666666666666E-3</v>
      </c>
      <c r="F69" s="19">
        <f t="shared" si="6"/>
        <v>152888.78</v>
      </c>
      <c r="G69" s="6">
        <f t="shared" si="14"/>
        <v>27</v>
      </c>
      <c r="H69" s="19">
        <f t="shared" si="3"/>
        <v>1359011.33</v>
      </c>
      <c r="I69" s="202">
        <f t="shared" si="4"/>
        <v>1511900.11</v>
      </c>
      <c r="J69" s="6"/>
      <c r="K69" s="6"/>
      <c r="L69" s="6"/>
    </row>
    <row r="70" spans="1:21">
      <c r="A70" s="185">
        <f t="shared" si="5"/>
        <v>46402</v>
      </c>
      <c r="B70" s="6"/>
      <c r="C70" s="19">
        <f t="shared" si="1"/>
        <v>33975283.370000012</v>
      </c>
      <c r="D70" s="6">
        <f t="shared" si="15"/>
        <v>31</v>
      </c>
      <c r="E70" s="6">
        <f t="shared" si="2"/>
        <v>4.3055555555555555E-3</v>
      </c>
      <c r="F70" s="19">
        <f t="shared" si="6"/>
        <v>152133.76999999999</v>
      </c>
      <c r="G70" s="6">
        <f t="shared" si="14"/>
        <v>26</v>
      </c>
      <c r="H70" s="19">
        <f t="shared" si="3"/>
        <v>1359011.34</v>
      </c>
      <c r="I70" s="202">
        <f t="shared" si="4"/>
        <v>1511145.11</v>
      </c>
      <c r="J70" s="6"/>
      <c r="K70" s="6"/>
      <c r="L70" s="6"/>
    </row>
    <row r="71" spans="1:21">
      <c r="A71" s="185">
        <f t="shared" si="5"/>
        <v>46433</v>
      </c>
      <c r="B71" s="6"/>
      <c r="C71" s="19">
        <f t="shared" si="1"/>
        <v>32616272.040000014</v>
      </c>
      <c r="D71" s="6">
        <f t="shared" si="15"/>
        <v>31</v>
      </c>
      <c r="E71" s="6">
        <f t="shared" si="2"/>
        <v>4.3055555555555555E-3</v>
      </c>
      <c r="F71" s="19">
        <f t="shared" si="6"/>
        <v>146282.47</v>
      </c>
      <c r="G71" s="6">
        <f t="shared" si="14"/>
        <v>25</v>
      </c>
      <c r="H71" s="19">
        <f t="shared" si="3"/>
        <v>1359011.33</v>
      </c>
      <c r="I71" s="202">
        <f t="shared" si="4"/>
        <v>1505293.8</v>
      </c>
      <c r="J71" s="6"/>
      <c r="K71" s="6"/>
      <c r="L71" s="6"/>
    </row>
    <row r="72" spans="1:21">
      <c r="A72" s="185">
        <f t="shared" si="5"/>
        <v>46461</v>
      </c>
      <c r="B72" s="6"/>
      <c r="C72" s="19">
        <f t="shared" si="1"/>
        <v>31257260.700000014</v>
      </c>
      <c r="D72" s="6">
        <f t="shared" si="15"/>
        <v>28</v>
      </c>
      <c r="E72" s="6">
        <f t="shared" si="2"/>
        <v>3.8888888888888892E-3</v>
      </c>
      <c r="F72" s="19">
        <f>ROUND(E72*C71,2)</f>
        <v>126841.06</v>
      </c>
      <c r="G72" s="6">
        <f t="shared" si="14"/>
        <v>24</v>
      </c>
      <c r="H72" s="19">
        <f t="shared" si="3"/>
        <v>1359011.34</v>
      </c>
      <c r="I72" s="202">
        <f t="shared" si="4"/>
        <v>1485852.4000000001</v>
      </c>
      <c r="J72" s="6"/>
      <c r="K72" s="6"/>
      <c r="L72" s="6"/>
    </row>
    <row r="73" spans="1:21">
      <c r="A73" s="185">
        <f t="shared" si="5"/>
        <v>46492</v>
      </c>
      <c r="B73" s="6"/>
      <c r="C73" s="19">
        <f t="shared" si="1"/>
        <v>29898249.370000012</v>
      </c>
      <c r="D73" s="6">
        <f t="shared" si="15"/>
        <v>31</v>
      </c>
      <c r="E73" s="6">
        <f t="shared" si="2"/>
        <v>4.3055555555555555E-3</v>
      </c>
      <c r="F73" s="19">
        <f t="shared" ref="F73:F95" si="16">ROUND(E73*C72,2)</f>
        <v>134579.87</v>
      </c>
      <c r="G73" s="6">
        <f t="shared" si="14"/>
        <v>23</v>
      </c>
      <c r="H73" s="19">
        <f t="shared" si="3"/>
        <v>1359011.33</v>
      </c>
      <c r="I73" s="202">
        <f t="shared" si="4"/>
        <v>1493591.2000000002</v>
      </c>
      <c r="J73" s="6"/>
      <c r="K73" s="6"/>
      <c r="L73" s="6"/>
    </row>
    <row r="74" spans="1:21">
      <c r="A74" s="185">
        <f t="shared" si="5"/>
        <v>46522</v>
      </c>
      <c r="B74" s="6"/>
      <c r="C74" s="19">
        <f t="shared" si="1"/>
        <v>28539238.030000012</v>
      </c>
      <c r="D74" s="6">
        <f t="shared" si="15"/>
        <v>30</v>
      </c>
      <c r="E74" s="6">
        <f t="shared" si="2"/>
        <v>4.1666666666666666E-3</v>
      </c>
      <c r="F74" s="19">
        <f t="shared" si="16"/>
        <v>124576.04</v>
      </c>
      <c r="G74" s="6">
        <f t="shared" si="14"/>
        <v>22</v>
      </c>
      <c r="H74" s="19">
        <f t="shared" si="3"/>
        <v>1359011.34</v>
      </c>
      <c r="I74" s="202">
        <f t="shared" si="4"/>
        <v>1483587.3800000001</v>
      </c>
      <c r="J74" s="6"/>
      <c r="K74" s="6"/>
      <c r="L74" s="6"/>
    </row>
    <row r="75" spans="1:21">
      <c r="A75" s="185">
        <f t="shared" si="5"/>
        <v>46553</v>
      </c>
      <c r="B75" s="6"/>
      <c r="C75" s="19">
        <f t="shared" si="1"/>
        <v>27180226.70000001</v>
      </c>
      <c r="D75" s="6">
        <f t="shared" si="15"/>
        <v>31</v>
      </c>
      <c r="E75" s="6">
        <f t="shared" si="2"/>
        <v>4.3055555555555555E-3</v>
      </c>
      <c r="F75" s="19">
        <f t="shared" si="16"/>
        <v>122877.27</v>
      </c>
      <c r="G75" s="6">
        <f t="shared" si="14"/>
        <v>21</v>
      </c>
      <c r="H75" s="19">
        <f t="shared" si="3"/>
        <v>1359011.33</v>
      </c>
      <c r="I75" s="202">
        <f t="shared" si="4"/>
        <v>1481888.6</v>
      </c>
      <c r="J75" s="6"/>
      <c r="K75" s="6"/>
      <c r="L75" s="6"/>
    </row>
    <row r="76" spans="1:21">
      <c r="A76" s="185">
        <f t="shared" si="5"/>
        <v>46583</v>
      </c>
      <c r="B76" s="6"/>
      <c r="C76" s="19">
        <f t="shared" si="1"/>
        <v>25821215.360000011</v>
      </c>
      <c r="D76" s="6">
        <f t="shared" si="15"/>
        <v>30</v>
      </c>
      <c r="E76" s="6">
        <f t="shared" si="2"/>
        <v>4.1666666666666666E-3</v>
      </c>
      <c r="F76" s="19">
        <f t="shared" si="16"/>
        <v>113250.94</v>
      </c>
      <c r="G76" s="6">
        <f t="shared" si="14"/>
        <v>20</v>
      </c>
      <c r="H76" s="19">
        <f t="shared" si="3"/>
        <v>1359011.34</v>
      </c>
      <c r="I76" s="202">
        <f t="shared" si="4"/>
        <v>1472262.28</v>
      </c>
      <c r="J76" s="6"/>
      <c r="K76" s="6"/>
      <c r="L76" s="6"/>
    </row>
    <row r="77" spans="1:21">
      <c r="A77" s="185">
        <f t="shared" si="5"/>
        <v>46614</v>
      </c>
      <c r="B77" s="6"/>
      <c r="C77" s="19">
        <f t="shared" si="1"/>
        <v>24462204.030000009</v>
      </c>
      <c r="D77" s="6">
        <f t="shared" si="15"/>
        <v>31</v>
      </c>
      <c r="E77" s="6">
        <f t="shared" si="2"/>
        <v>4.3055555555555555E-3</v>
      </c>
      <c r="F77" s="19">
        <f t="shared" si="16"/>
        <v>111174.68</v>
      </c>
      <c r="G77" s="6">
        <f t="shared" si="14"/>
        <v>19</v>
      </c>
      <c r="H77" s="19">
        <f t="shared" si="3"/>
        <v>1359011.33</v>
      </c>
      <c r="I77" s="202">
        <f t="shared" si="4"/>
        <v>1470186.01</v>
      </c>
      <c r="J77" s="6"/>
      <c r="K77" s="6"/>
      <c r="L77" s="6"/>
    </row>
    <row r="78" spans="1:21">
      <c r="A78" s="185">
        <f t="shared" si="5"/>
        <v>46645</v>
      </c>
      <c r="B78" s="6"/>
      <c r="C78" s="19">
        <f t="shared" si="1"/>
        <v>23103192.690000009</v>
      </c>
      <c r="D78" s="6">
        <f t="shared" si="15"/>
        <v>31</v>
      </c>
      <c r="E78" s="6">
        <f t="shared" si="2"/>
        <v>4.3055555555555555E-3</v>
      </c>
      <c r="F78" s="19">
        <f t="shared" si="16"/>
        <v>105323.38</v>
      </c>
      <c r="G78" s="6">
        <f t="shared" si="14"/>
        <v>18</v>
      </c>
      <c r="H78" s="19">
        <f t="shared" si="3"/>
        <v>1359011.34</v>
      </c>
      <c r="I78" s="202">
        <f t="shared" si="4"/>
        <v>1464334.7200000002</v>
      </c>
      <c r="J78" s="6"/>
      <c r="K78" s="6"/>
      <c r="L78" s="6"/>
    </row>
    <row r="79" spans="1:21">
      <c r="A79" s="185">
        <f t="shared" si="5"/>
        <v>46675</v>
      </c>
      <c r="B79" s="6"/>
      <c r="C79" s="19">
        <f t="shared" si="1"/>
        <v>21744181.360000007</v>
      </c>
      <c r="D79" s="6">
        <f t="shared" si="15"/>
        <v>30</v>
      </c>
      <c r="E79" s="6">
        <f t="shared" si="2"/>
        <v>4.1666666666666666E-3</v>
      </c>
      <c r="F79" s="19">
        <f t="shared" si="16"/>
        <v>96263.3</v>
      </c>
      <c r="G79" s="6">
        <f t="shared" si="14"/>
        <v>17</v>
      </c>
      <c r="H79" s="19">
        <f t="shared" si="3"/>
        <v>1359011.33</v>
      </c>
      <c r="I79" s="202">
        <f t="shared" si="4"/>
        <v>1455274.6300000001</v>
      </c>
      <c r="J79" s="6"/>
      <c r="K79" s="6"/>
      <c r="L79" s="6"/>
    </row>
    <row r="80" spans="1:21">
      <c r="A80" s="185">
        <f t="shared" si="5"/>
        <v>46706</v>
      </c>
      <c r="B80" s="6"/>
      <c r="C80" s="19">
        <f t="shared" si="1"/>
        <v>20385170.020000007</v>
      </c>
      <c r="D80" s="6">
        <f t="shared" si="15"/>
        <v>31</v>
      </c>
      <c r="E80" s="6">
        <f t="shared" si="2"/>
        <v>4.3055555555555555E-3</v>
      </c>
      <c r="F80" s="19">
        <f t="shared" si="16"/>
        <v>93620.78</v>
      </c>
      <c r="G80" s="6">
        <f t="shared" si="14"/>
        <v>16</v>
      </c>
      <c r="H80" s="19">
        <f t="shared" si="3"/>
        <v>1359011.34</v>
      </c>
      <c r="I80" s="202">
        <f t="shared" si="4"/>
        <v>1452632.12</v>
      </c>
      <c r="J80" s="6"/>
      <c r="K80" s="6"/>
      <c r="L80" s="6"/>
    </row>
    <row r="81" spans="1:12">
      <c r="A81" s="185">
        <f t="shared" si="5"/>
        <v>46736</v>
      </c>
      <c r="B81" s="6"/>
      <c r="C81" s="19">
        <f t="shared" si="1"/>
        <v>19026158.690000005</v>
      </c>
      <c r="D81" s="6">
        <f t="shared" si="15"/>
        <v>30</v>
      </c>
      <c r="E81" s="6">
        <f t="shared" si="2"/>
        <v>4.1666666666666666E-3</v>
      </c>
      <c r="F81" s="19">
        <f t="shared" si="16"/>
        <v>84938.21</v>
      </c>
      <c r="G81" s="6">
        <f t="shared" si="14"/>
        <v>15</v>
      </c>
      <c r="H81" s="19">
        <f t="shared" si="3"/>
        <v>1359011.33</v>
      </c>
      <c r="I81" s="202">
        <f t="shared" si="4"/>
        <v>1443949.54</v>
      </c>
      <c r="J81" s="6"/>
      <c r="K81" s="6"/>
      <c r="L81" s="6"/>
    </row>
    <row r="82" spans="1:12">
      <c r="A82" s="185">
        <f t="shared" si="5"/>
        <v>46767</v>
      </c>
      <c r="B82" s="6"/>
      <c r="C82" s="19">
        <f t="shared" si="1"/>
        <v>17667147.350000005</v>
      </c>
      <c r="D82" s="6">
        <f t="shared" si="15"/>
        <v>31</v>
      </c>
      <c r="E82" s="6">
        <f t="shared" si="2"/>
        <v>4.3055555555555555E-3</v>
      </c>
      <c r="F82" s="19">
        <f t="shared" si="16"/>
        <v>81918.179999999993</v>
      </c>
      <c r="G82" s="6">
        <f t="shared" si="14"/>
        <v>14</v>
      </c>
      <c r="H82" s="19">
        <f t="shared" si="3"/>
        <v>1359011.34</v>
      </c>
      <c r="I82" s="202">
        <f t="shared" si="4"/>
        <v>1440929.52</v>
      </c>
      <c r="J82" s="6"/>
      <c r="K82" s="6"/>
      <c r="L82" s="6"/>
    </row>
    <row r="83" spans="1:12">
      <c r="A83" s="185">
        <f t="shared" ref="A83:A95" si="17">EDATE(A82,1)</f>
        <v>46798</v>
      </c>
      <c r="B83" s="6"/>
      <c r="C83" s="19">
        <f t="shared" ref="C83:C95" si="18">C82-H83</f>
        <v>16308136.020000005</v>
      </c>
      <c r="D83" s="6">
        <f t="shared" si="15"/>
        <v>31</v>
      </c>
      <c r="E83" s="6">
        <f t="shared" ref="E83:E95" si="19">$B$5*D83/$B$8</f>
        <v>4.3055555555555555E-3</v>
      </c>
      <c r="F83" s="19">
        <f t="shared" si="16"/>
        <v>76066.880000000005</v>
      </c>
      <c r="G83" s="6">
        <f t="shared" si="14"/>
        <v>13</v>
      </c>
      <c r="H83" s="19">
        <f t="shared" ref="H83:H95" si="20">ROUND(C82/G83,2)</f>
        <v>1359011.33</v>
      </c>
      <c r="I83" s="202">
        <f t="shared" ref="I83:I95" si="21">F83+H83</f>
        <v>1435078.21</v>
      </c>
      <c r="J83" s="6"/>
      <c r="K83" s="6"/>
      <c r="L83" s="6"/>
    </row>
    <row r="84" spans="1:12">
      <c r="A84" s="185">
        <f t="shared" si="17"/>
        <v>46827</v>
      </c>
      <c r="B84" s="6"/>
      <c r="C84" s="19">
        <f t="shared" si="18"/>
        <v>14949124.680000005</v>
      </c>
      <c r="D84" s="6">
        <f t="shared" si="15"/>
        <v>29</v>
      </c>
      <c r="E84" s="6">
        <f t="shared" si="19"/>
        <v>4.0277777777777786E-3</v>
      </c>
      <c r="F84" s="19">
        <f t="shared" si="16"/>
        <v>65685.55</v>
      </c>
      <c r="G84" s="6">
        <f t="shared" si="14"/>
        <v>12</v>
      </c>
      <c r="H84" s="19">
        <f t="shared" si="20"/>
        <v>1359011.34</v>
      </c>
      <c r="I84" s="202">
        <f t="shared" si="21"/>
        <v>1424696.8900000001</v>
      </c>
      <c r="J84" s="6"/>
      <c r="K84" s="6"/>
      <c r="L84" s="6"/>
    </row>
    <row r="85" spans="1:12">
      <c r="A85" s="185">
        <f t="shared" si="17"/>
        <v>46858</v>
      </c>
      <c r="B85" s="6"/>
      <c r="C85" s="19">
        <f t="shared" si="18"/>
        <v>13590113.350000005</v>
      </c>
      <c r="D85" s="6">
        <f t="shared" si="15"/>
        <v>31</v>
      </c>
      <c r="E85" s="6">
        <f t="shared" si="19"/>
        <v>4.3055555555555555E-3</v>
      </c>
      <c r="F85" s="19">
        <f t="shared" si="16"/>
        <v>64364.29</v>
      </c>
      <c r="G85" s="6">
        <f t="shared" si="14"/>
        <v>11</v>
      </c>
      <c r="H85" s="19">
        <f t="shared" si="20"/>
        <v>1359011.33</v>
      </c>
      <c r="I85" s="202">
        <f t="shared" si="21"/>
        <v>1423375.62</v>
      </c>
      <c r="J85" s="6"/>
      <c r="K85" s="6"/>
      <c r="L85" s="6"/>
    </row>
    <row r="86" spans="1:12">
      <c r="A86" s="185">
        <f t="shared" si="17"/>
        <v>46888</v>
      </c>
      <c r="B86" s="6"/>
      <c r="C86" s="19">
        <f t="shared" si="18"/>
        <v>12231102.010000005</v>
      </c>
      <c r="D86" s="6">
        <f t="shared" si="15"/>
        <v>30</v>
      </c>
      <c r="E86" s="6">
        <f t="shared" si="19"/>
        <v>4.1666666666666666E-3</v>
      </c>
      <c r="F86" s="19">
        <f t="shared" si="16"/>
        <v>56625.47</v>
      </c>
      <c r="G86" s="6">
        <f t="shared" si="14"/>
        <v>10</v>
      </c>
      <c r="H86" s="19">
        <f t="shared" si="20"/>
        <v>1359011.34</v>
      </c>
      <c r="I86" s="202">
        <f t="shared" si="21"/>
        <v>1415636.81</v>
      </c>
      <c r="J86" s="6"/>
      <c r="K86" s="6"/>
      <c r="L86" s="6"/>
    </row>
    <row r="87" spans="1:12">
      <c r="A87" s="185">
        <f t="shared" si="17"/>
        <v>46919</v>
      </c>
      <c r="B87" s="6"/>
      <c r="C87" s="19">
        <f t="shared" si="18"/>
        <v>10872090.680000005</v>
      </c>
      <c r="D87" s="6">
        <f t="shared" si="15"/>
        <v>31</v>
      </c>
      <c r="E87" s="6">
        <f t="shared" si="19"/>
        <v>4.3055555555555555E-3</v>
      </c>
      <c r="F87" s="19">
        <f t="shared" si="16"/>
        <v>52661.69</v>
      </c>
      <c r="G87" s="6">
        <f t="shared" si="14"/>
        <v>9</v>
      </c>
      <c r="H87" s="19">
        <f t="shared" si="20"/>
        <v>1359011.33</v>
      </c>
      <c r="I87" s="202">
        <f t="shared" si="21"/>
        <v>1411673.02</v>
      </c>
      <c r="J87" s="6"/>
      <c r="K87" s="6"/>
      <c r="L87" s="6"/>
    </row>
    <row r="88" spans="1:12">
      <c r="A88" s="185">
        <f t="shared" si="17"/>
        <v>46949</v>
      </c>
      <c r="B88" s="6"/>
      <c r="C88" s="19">
        <f t="shared" si="18"/>
        <v>9513079.3400000054</v>
      </c>
      <c r="D88" s="6">
        <f t="shared" si="15"/>
        <v>30</v>
      </c>
      <c r="E88" s="6">
        <f t="shared" si="19"/>
        <v>4.1666666666666666E-3</v>
      </c>
      <c r="F88" s="19">
        <f t="shared" si="16"/>
        <v>45300.38</v>
      </c>
      <c r="G88" s="6">
        <f t="shared" si="14"/>
        <v>8</v>
      </c>
      <c r="H88" s="19">
        <f t="shared" si="20"/>
        <v>1359011.34</v>
      </c>
      <c r="I88" s="202">
        <f t="shared" si="21"/>
        <v>1404311.72</v>
      </c>
      <c r="J88" s="6"/>
      <c r="K88" s="6"/>
      <c r="L88" s="6"/>
    </row>
    <row r="89" spans="1:12">
      <c r="A89" s="185">
        <f t="shared" si="17"/>
        <v>46980</v>
      </c>
      <c r="B89" s="6"/>
      <c r="C89" s="19">
        <f t="shared" si="18"/>
        <v>8154068.0100000054</v>
      </c>
      <c r="D89" s="6">
        <f t="shared" si="15"/>
        <v>31</v>
      </c>
      <c r="E89" s="6">
        <f t="shared" si="19"/>
        <v>4.3055555555555555E-3</v>
      </c>
      <c r="F89" s="19">
        <f t="shared" si="16"/>
        <v>40959.089999999997</v>
      </c>
      <c r="G89" s="6">
        <f t="shared" si="14"/>
        <v>7</v>
      </c>
      <c r="H89" s="19">
        <f t="shared" si="20"/>
        <v>1359011.33</v>
      </c>
      <c r="I89" s="202">
        <f t="shared" si="21"/>
        <v>1399970.4200000002</v>
      </c>
      <c r="J89" s="6"/>
      <c r="K89" s="6"/>
      <c r="L89" s="6"/>
    </row>
    <row r="90" spans="1:12">
      <c r="A90" s="185">
        <f t="shared" si="17"/>
        <v>47011</v>
      </c>
      <c r="B90" s="6"/>
      <c r="C90" s="19">
        <f t="shared" si="18"/>
        <v>6795056.6700000055</v>
      </c>
      <c r="D90" s="6">
        <f t="shared" si="15"/>
        <v>31</v>
      </c>
      <c r="E90" s="6">
        <f t="shared" si="19"/>
        <v>4.3055555555555555E-3</v>
      </c>
      <c r="F90" s="19">
        <f t="shared" si="16"/>
        <v>35107.79</v>
      </c>
      <c r="G90" s="6">
        <f t="shared" si="14"/>
        <v>6</v>
      </c>
      <c r="H90" s="19">
        <f t="shared" si="20"/>
        <v>1359011.34</v>
      </c>
      <c r="I90" s="202">
        <f t="shared" si="21"/>
        <v>1394119.1300000001</v>
      </c>
      <c r="J90" s="6"/>
      <c r="K90" s="6"/>
      <c r="L90" s="6"/>
    </row>
    <row r="91" spans="1:12">
      <c r="A91" s="185">
        <f t="shared" si="17"/>
        <v>47041</v>
      </c>
      <c r="B91" s="6"/>
      <c r="C91" s="19">
        <f t="shared" si="18"/>
        <v>5436045.3400000054</v>
      </c>
      <c r="D91" s="6">
        <f t="shared" si="15"/>
        <v>30</v>
      </c>
      <c r="E91" s="6">
        <f t="shared" si="19"/>
        <v>4.1666666666666666E-3</v>
      </c>
      <c r="F91" s="19">
        <f t="shared" si="16"/>
        <v>28312.74</v>
      </c>
      <c r="G91" s="6">
        <f t="shared" si="14"/>
        <v>5</v>
      </c>
      <c r="H91" s="19">
        <f t="shared" si="20"/>
        <v>1359011.33</v>
      </c>
      <c r="I91" s="202">
        <f t="shared" si="21"/>
        <v>1387324.07</v>
      </c>
      <c r="J91" s="6"/>
      <c r="K91" s="6"/>
      <c r="L91" s="6"/>
    </row>
    <row r="92" spans="1:12">
      <c r="A92" s="185">
        <f t="shared" si="17"/>
        <v>47072</v>
      </c>
      <c r="B92" s="6"/>
      <c r="C92" s="19">
        <f t="shared" si="18"/>
        <v>4077034.0000000056</v>
      </c>
      <c r="D92" s="6">
        <f t="shared" si="15"/>
        <v>31</v>
      </c>
      <c r="E92" s="6">
        <f t="shared" si="19"/>
        <v>4.3055555555555555E-3</v>
      </c>
      <c r="F92" s="19">
        <f t="shared" si="16"/>
        <v>23405.200000000001</v>
      </c>
      <c r="G92" s="6">
        <f t="shared" si="14"/>
        <v>4</v>
      </c>
      <c r="H92" s="19">
        <f t="shared" si="20"/>
        <v>1359011.34</v>
      </c>
      <c r="I92" s="202">
        <f t="shared" si="21"/>
        <v>1382416.54</v>
      </c>
      <c r="J92" s="6"/>
      <c r="K92" s="6"/>
      <c r="L92" s="6"/>
    </row>
    <row r="93" spans="1:12">
      <c r="A93" s="185">
        <f t="shared" si="17"/>
        <v>47102</v>
      </c>
      <c r="B93" s="6"/>
      <c r="C93" s="19">
        <f t="shared" si="18"/>
        <v>2718022.6700000055</v>
      </c>
      <c r="D93" s="6">
        <f t="shared" si="15"/>
        <v>30</v>
      </c>
      <c r="E93" s="6">
        <f t="shared" si="19"/>
        <v>4.1666666666666666E-3</v>
      </c>
      <c r="F93" s="19">
        <f t="shared" si="16"/>
        <v>16987.64</v>
      </c>
      <c r="G93" s="6">
        <f t="shared" si="14"/>
        <v>3</v>
      </c>
      <c r="H93" s="19">
        <f t="shared" si="20"/>
        <v>1359011.33</v>
      </c>
      <c r="I93" s="202">
        <f t="shared" si="21"/>
        <v>1375998.97</v>
      </c>
      <c r="J93" s="6"/>
      <c r="K93" s="6"/>
      <c r="L93" s="6"/>
    </row>
    <row r="94" spans="1:12">
      <c r="A94" s="185">
        <f t="shared" si="17"/>
        <v>47133</v>
      </c>
      <c r="B94" s="6"/>
      <c r="C94" s="19">
        <f t="shared" si="18"/>
        <v>1359011.3300000054</v>
      </c>
      <c r="D94" s="6">
        <f t="shared" si="15"/>
        <v>31</v>
      </c>
      <c r="E94" s="6">
        <f t="shared" si="19"/>
        <v>4.3055555555555555E-3</v>
      </c>
      <c r="F94" s="19">
        <f t="shared" si="16"/>
        <v>11702.6</v>
      </c>
      <c r="G94" s="6">
        <f t="shared" si="14"/>
        <v>2</v>
      </c>
      <c r="H94" s="19">
        <f t="shared" si="20"/>
        <v>1359011.34</v>
      </c>
      <c r="I94" s="202">
        <f t="shared" si="21"/>
        <v>1370713.9400000002</v>
      </c>
      <c r="J94" s="6"/>
      <c r="K94" s="6"/>
      <c r="L94" s="6"/>
    </row>
    <row r="95" spans="1:12">
      <c r="A95" s="80">
        <f t="shared" si="17"/>
        <v>47164</v>
      </c>
      <c r="B95" s="228"/>
      <c r="C95" s="18">
        <f t="shared" si="18"/>
        <v>5.3551048040390015E-9</v>
      </c>
      <c r="D95" s="228">
        <f t="shared" si="15"/>
        <v>31</v>
      </c>
      <c r="E95" s="228">
        <f t="shared" si="19"/>
        <v>4.3055555555555555E-3</v>
      </c>
      <c r="F95" s="18">
        <f t="shared" si="16"/>
        <v>5851.3</v>
      </c>
      <c r="G95" s="228">
        <f t="shared" si="14"/>
        <v>1</v>
      </c>
      <c r="H95" s="18">
        <f t="shared" si="20"/>
        <v>1359011.33</v>
      </c>
      <c r="I95" s="81">
        <f t="shared" si="21"/>
        <v>1364862.6300000001</v>
      </c>
      <c r="J95" s="6"/>
      <c r="K95" s="6"/>
      <c r="L95" s="6"/>
    </row>
    <row r="96" spans="1:12">
      <c r="A96" s="185"/>
      <c r="B96" s="6"/>
      <c r="C96" s="19"/>
      <c r="D96" s="6"/>
      <c r="E96" s="6"/>
      <c r="F96" s="19"/>
      <c r="G96" s="6"/>
      <c r="H96" s="19"/>
      <c r="I96" s="202"/>
      <c r="J96" s="6"/>
      <c r="K96" s="6"/>
      <c r="L96" s="6"/>
    </row>
    <row r="97" spans="1:12">
      <c r="A97" s="6"/>
      <c r="B97" s="6"/>
      <c r="C97" s="19"/>
      <c r="D97" s="6"/>
      <c r="E97" s="6"/>
      <c r="F97" s="6"/>
      <c r="G97" s="6"/>
      <c r="H97" s="19"/>
      <c r="I97" s="19"/>
      <c r="J97" s="6"/>
      <c r="K97" s="6"/>
      <c r="L97" s="6"/>
    </row>
    <row r="98" spans="1:12">
      <c r="A98" s="6"/>
      <c r="B98" s="6"/>
      <c r="C98" s="19"/>
      <c r="D98" s="6"/>
      <c r="E98" s="6"/>
      <c r="F98" s="6"/>
      <c r="G98" s="6"/>
      <c r="H98" s="19"/>
      <c r="I98" s="19"/>
      <c r="J98" s="6"/>
      <c r="K98" s="6"/>
      <c r="L98" s="6"/>
    </row>
    <row r="99" spans="1:12">
      <c r="J99" s="6"/>
      <c r="K99" s="6"/>
      <c r="L99" s="6"/>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87462-427E-409E-9F63-4D1886CF9BF7}">
  <sheetPr>
    <tabColor theme="5"/>
  </sheetPr>
  <dimension ref="A1:F35"/>
  <sheetViews>
    <sheetView zoomScaleNormal="100" workbookViewId="0">
      <selection activeCell="A3" sqref="A3"/>
    </sheetView>
  </sheetViews>
  <sheetFormatPr defaultRowHeight="14.5"/>
  <cols>
    <col min="1" max="1" width="15.54296875" style="458" bestFit="1" customWidth="1"/>
    <col min="2" max="2" width="18.54296875" style="458" bestFit="1" customWidth="1"/>
    <col min="3" max="5" width="18.453125" style="459" customWidth="1"/>
    <col min="6" max="16384" width="8.7265625" style="458"/>
  </cols>
  <sheetData>
    <row r="1" spans="1:5">
      <c r="A1" s="15" t="s">
        <v>211</v>
      </c>
    </row>
    <row r="2" spans="1:5" ht="29">
      <c r="A2" s="460"/>
      <c r="B2" s="460"/>
      <c r="C2" s="410" t="s">
        <v>199</v>
      </c>
      <c r="D2" s="411"/>
      <c r="E2" s="410" t="s">
        <v>200</v>
      </c>
    </row>
    <row r="3" spans="1:5">
      <c r="A3" s="460"/>
      <c r="B3" s="460"/>
      <c r="C3" s="402">
        <v>1000000</v>
      </c>
      <c r="D3" s="7"/>
      <c r="E3" s="402">
        <v>500000</v>
      </c>
    </row>
    <row r="4" spans="1:5">
      <c r="A4" s="405" t="s">
        <v>34</v>
      </c>
      <c r="B4" s="405" t="s">
        <v>35</v>
      </c>
      <c r="C4" s="404" t="s">
        <v>36</v>
      </c>
      <c r="D4" s="405" t="s">
        <v>34</v>
      </c>
      <c r="E4" s="403" t="s">
        <v>37</v>
      </c>
    </row>
    <row r="5" spans="1:5">
      <c r="A5" s="126">
        <v>1</v>
      </c>
      <c r="B5" s="461">
        <v>44576</v>
      </c>
      <c r="C5" s="462">
        <f>C3/20</f>
        <v>50000</v>
      </c>
      <c r="D5" s="462"/>
      <c r="E5" s="463"/>
    </row>
    <row r="6" spans="1:5">
      <c r="A6" s="126">
        <f>A5+1</f>
        <v>2</v>
      </c>
      <c r="B6" s="461">
        <f>EDATE(B5,6)</f>
        <v>44757</v>
      </c>
      <c r="C6" s="462">
        <f>C5</f>
        <v>50000</v>
      </c>
      <c r="D6" s="462"/>
      <c r="E6" s="463"/>
    </row>
    <row r="7" spans="1:5">
      <c r="A7" s="126">
        <f t="shared" ref="A7:A24" si="0">A6+1</f>
        <v>3</v>
      </c>
      <c r="B7" s="461">
        <f t="shared" ref="B7:B25" si="1">EDATE(B6,6)</f>
        <v>44941</v>
      </c>
      <c r="C7" s="462">
        <f t="shared" ref="C7:C25" si="2">C6</f>
        <v>50000</v>
      </c>
      <c r="D7" s="462"/>
      <c r="E7" s="463"/>
    </row>
    <row r="8" spans="1:5">
      <c r="A8" s="126"/>
      <c r="B8" s="406">
        <v>45000</v>
      </c>
      <c r="C8" s="407"/>
      <c r="D8" s="407"/>
      <c r="E8" s="408" t="s">
        <v>38</v>
      </c>
    </row>
    <row r="9" spans="1:5">
      <c r="A9" s="126">
        <f>A7+1</f>
        <v>4</v>
      </c>
      <c r="B9" s="461">
        <f>EDATE(B7,6)</f>
        <v>45122</v>
      </c>
      <c r="C9" s="462">
        <f>C7</f>
        <v>50000</v>
      </c>
      <c r="D9" s="126">
        <v>1</v>
      </c>
      <c r="E9" s="462">
        <f>E3/20</f>
        <v>25000</v>
      </c>
    </row>
    <row r="10" spans="1:5">
      <c r="A10" s="126">
        <f t="shared" si="0"/>
        <v>5</v>
      </c>
      <c r="B10" s="461">
        <f t="shared" si="1"/>
        <v>45306</v>
      </c>
      <c r="C10" s="462">
        <f t="shared" si="2"/>
        <v>50000</v>
      </c>
      <c r="D10" s="126">
        <v>2</v>
      </c>
      <c r="E10" s="462">
        <f>E9</f>
        <v>25000</v>
      </c>
    </row>
    <row r="11" spans="1:5">
      <c r="A11" s="126">
        <f t="shared" si="0"/>
        <v>6</v>
      </c>
      <c r="B11" s="461">
        <f t="shared" si="1"/>
        <v>45488</v>
      </c>
      <c r="C11" s="462">
        <f t="shared" si="2"/>
        <v>50000</v>
      </c>
      <c r="D11" s="126">
        <v>3</v>
      </c>
      <c r="E11" s="462">
        <f t="shared" ref="E11:E28" si="3">E10</f>
        <v>25000</v>
      </c>
    </row>
    <row r="12" spans="1:5">
      <c r="A12" s="126">
        <f t="shared" si="0"/>
        <v>7</v>
      </c>
      <c r="B12" s="461">
        <f t="shared" si="1"/>
        <v>45672</v>
      </c>
      <c r="C12" s="462">
        <f t="shared" si="2"/>
        <v>50000</v>
      </c>
      <c r="D12" s="126">
        <v>4</v>
      </c>
      <c r="E12" s="462">
        <f t="shared" si="3"/>
        <v>25000</v>
      </c>
    </row>
    <row r="13" spans="1:5">
      <c r="A13" s="126">
        <f t="shared" si="0"/>
        <v>8</v>
      </c>
      <c r="B13" s="461">
        <f t="shared" si="1"/>
        <v>45853</v>
      </c>
      <c r="C13" s="462">
        <f t="shared" si="2"/>
        <v>50000</v>
      </c>
      <c r="D13" s="126">
        <v>5</v>
      </c>
      <c r="E13" s="462">
        <f t="shared" si="3"/>
        <v>25000</v>
      </c>
    </row>
    <row r="14" spans="1:5">
      <c r="A14" s="126">
        <f t="shared" si="0"/>
        <v>9</v>
      </c>
      <c r="B14" s="461">
        <f t="shared" si="1"/>
        <v>46037</v>
      </c>
      <c r="C14" s="462">
        <f t="shared" si="2"/>
        <v>50000</v>
      </c>
      <c r="D14" s="126">
        <v>6</v>
      </c>
      <c r="E14" s="462">
        <f t="shared" si="3"/>
        <v>25000</v>
      </c>
    </row>
    <row r="15" spans="1:5">
      <c r="A15" s="126">
        <f t="shared" si="0"/>
        <v>10</v>
      </c>
      <c r="B15" s="461">
        <f t="shared" si="1"/>
        <v>46218</v>
      </c>
      <c r="C15" s="462">
        <f t="shared" si="2"/>
        <v>50000</v>
      </c>
      <c r="D15" s="126">
        <v>7</v>
      </c>
      <c r="E15" s="462">
        <f t="shared" si="3"/>
        <v>25000</v>
      </c>
    </row>
    <row r="16" spans="1:5">
      <c r="A16" s="126">
        <f t="shared" si="0"/>
        <v>11</v>
      </c>
      <c r="B16" s="461">
        <f t="shared" si="1"/>
        <v>46402</v>
      </c>
      <c r="C16" s="462">
        <f t="shared" si="2"/>
        <v>50000</v>
      </c>
      <c r="D16" s="126">
        <v>8</v>
      </c>
      <c r="E16" s="462">
        <f t="shared" si="3"/>
        <v>25000</v>
      </c>
    </row>
    <row r="17" spans="1:6">
      <c r="A17" s="126">
        <f t="shared" si="0"/>
        <v>12</v>
      </c>
      <c r="B17" s="461">
        <f t="shared" si="1"/>
        <v>46583</v>
      </c>
      <c r="C17" s="462">
        <f t="shared" si="2"/>
        <v>50000</v>
      </c>
      <c r="D17" s="126">
        <v>9</v>
      </c>
      <c r="E17" s="462">
        <f t="shared" si="3"/>
        <v>25000</v>
      </c>
    </row>
    <row r="18" spans="1:6">
      <c r="A18" s="126">
        <f t="shared" si="0"/>
        <v>13</v>
      </c>
      <c r="B18" s="461">
        <f t="shared" si="1"/>
        <v>46767</v>
      </c>
      <c r="C18" s="462">
        <f t="shared" si="2"/>
        <v>50000</v>
      </c>
      <c r="D18" s="126">
        <v>10</v>
      </c>
      <c r="E18" s="462">
        <f t="shared" si="3"/>
        <v>25000</v>
      </c>
    </row>
    <row r="19" spans="1:6">
      <c r="A19" s="126">
        <f t="shared" si="0"/>
        <v>14</v>
      </c>
      <c r="B19" s="461">
        <f t="shared" si="1"/>
        <v>46949</v>
      </c>
      <c r="C19" s="462">
        <f t="shared" si="2"/>
        <v>50000</v>
      </c>
      <c r="D19" s="126">
        <v>11</v>
      </c>
      <c r="E19" s="462">
        <f t="shared" si="3"/>
        <v>25000</v>
      </c>
    </row>
    <row r="20" spans="1:6">
      <c r="A20" s="126">
        <f t="shared" si="0"/>
        <v>15</v>
      </c>
      <c r="B20" s="461">
        <f t="shared" si="1"/>
        <v>47133</v>
      </c>
      <c r="C20" s="462">
        <f t="shared" si="2"/>
        <v>50000</v>
      </c>
      <c r="D20" s="126">
        <v>12</v>
      </c>
      <c r="E20" s="462">
        <f t="shared" si="3"/>
        <v>25000</v>
      </c>
    </row>
    <row r="21" spans="1:6">
      <c r="A21" s="126">
        <f t="shared" si="0"/>
        <v>16</v>
      </c>
      <c r="B21" s="461">
        <f t="shared" si="1"/>
        <v>47314</v>
      </c>
      <c r="C21" s="462">
        <f t="shared" si="2"/>
        <v>50000</v>
      </c>
      <c r="D21" s="126">
        <v>13</v>
      </c>
      <c r="E21" s="462">
        <f t="shared" si="3"/>
        <v>25000</v>
      </c>
    </row>
    <row r="22" spans="1:6">
      <c r="A22" s="126">
        <f t="shared" si="0"/>
        <v>17</v>
      </c>
      <c r="B22" s="461">
        <f t="shared" si="1"/>
        <v>47498</v>
      </c>
      <c r="C22" s="462">
        <f t="shared" si="2"/>
        <v>50000</v>
      </c>
      <c r="D22" s="126">
        <v>14</v>
      </c>
      <c r="E22" s="462">
        <f t="shared" si="3"/>
        <v>25000</v>
      </c>
    </row>
    <row r="23" spans="1:6">
      <c r="A23" s="126">
        <f>A22+1</f>
        <v>18</v>
      </c>
      <c r="B23" s="461">
        <f t="shared" si="1"/>
        <v>47679</v>
      </c>
      <c r="C23" s="462">
        <f t="shared" si="2"/>
        <v>50000</v>
      </c>
      <c r="D23" s="126">
        <v>15</v>
      </c>
      <c r="E23" s="462">
        <f t="shared" si="3"/>
        <v>25000</v>
      </c>
    </row>
    <row r="24" spans="1:6">
      <c r="A24" s="126">
        <f t="shared" si="0"/>
        <v>19</v>
      </c>
      <c r="B24" s="461">
        <f t="shared" si="1"/>
        <v>47863</v>
      </c>
      <c r="C24" s="462">
        <f t="shared" si="2"/>
        <v>50000</v>
      </c>
      <c r="D24" s="126">
        <v>16</v>
      </c>
      <c r="E24" s="462">
        <f t="shared" si="3"/>
        <v>25000</v>
      </c>
    </row>
    <row r="25" spans="1:6">
      <c r="A25" s="126">
        <f>A24+1</f>
        <v>20</v>
      </c>
      <c r="B25" s="461">
        <f t="shared" si="1"/>
        <v>48044</v>
      </c>
      <c r="C25" s="462">
        <f t="shared" si="2"/>
        <v>50000</v>
      </c>
      <c r="D25" s="126">
        <v>17</v>
      </c>
      <c r="E25" s="462">
        <f t="shared" si="3"/>
        <v>25000</v>
      </c>
      <c r="F25" s="409">
        <f>B25-B5</f>
        <v>3468</v>
      </c>
    </row>
    <row r="26" spans="1:6">
      <c r="A26" s="460">
        <f t="shared" ref="A26:A28" si="4">A25+1</f>
        <v>21</v>
      </c>
      <c r="B26" s="461">
        <f t="shared" ref="B26:B28" si="5">EDATE(B25,6)</f>
        <v>48228</v>
      </c>
      <c r="C26" s="463"/>
      <c r="D26" s="126">
        <v>18</v>
      </c>
      <c r="E26" s="462">
        <f t="shared" si="3"/>
        <v>25000</v>
      </c>
      <c r="F26" s="409"/>
    </row>
    <row r="27" spans="1:6">
      <c r="A27" s="460">
        <f t="shared" si="4"/>
        <v>22</v>
      </c>
      <c r="B27" s="461">
        <f t="shared" si="5"/>
        <v>48410</v>
      </c>
      <c r="C27" s="463"/>
      <c r="D27" s="126">
        <v>19</v>
      </c>
      <c r="E27" s="462">
        <f t="shared" si="3"/>
        <v>25000</v>
      </c>
      <c r="F27" s="409"/>
    </row>
    <row r="28" spans="1:6">
      <c r="A28" s="464">
        <f t="shared" si="4"/>
        <v>23</v>
      </c>
      <c r="B28" s="465">
        <f t="shared" si="5"/>
        <v>48594</v>
      </c>
      <c r="C28" s="466"/>
      <c r="D28" s="126">
        <v>20</v>
      </c>
      <c r="E28" s="467">
        <f t="shared" si="3"/>
        <v>25000</v>
      </c>
      <c r="F28" s="409">
        <f>B28-B5</f>
        <v>4018</v>
      </c>
    </row>
    <row r="29" spans="1:6">
      <c r="A29" s="8"/>
      <c r="B29" s="8" t="s">
        <v>39</v>
      </c>
      <c r="C29" s="9">
        <f>F25/360</f>
        <v>9.6333333333333329</v>
      </c>
      <c r="D29" s="9"/>
      <c r="E29" s="10"/>
    </row>
    <row r="30" spans="1:6" ht="15" thickBot="1">
      <c r="A30" s="11"/>
      <c r="B30" s="11" t="s">
        <v>40</v>
      </c>
      <c r="C30" s="12"/>
      <c r="D30" s="12"/>
      <c r="E30" s="13">
        <f>F28/360</f>
        <v>11.161111111111111</v>
      </c>
    </row>
    <row r="33" spans="1:4">
      <c r="A33" s="15"/>
    </row>
    <row r="35" spans="1:4">
      <c r="D35" s="15"/>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17E5-9B04-41BD-A64A-12E635C1F73A}">
  <sheetPr>
    <tabColor theme="9"/>
  </sheetPr>
  <dimension ref="A1:F42"/>
  <sheetViews>
    <sheetView zoomScale="70" zoomScaleNormal="70" workbookViewId="0">
      <selection activeCell="H1" sqref="H1"/>
    </sheetView>
  </sheetViews>
  <sheetFormatPr defaultRowHeight="14.5"/>
  <cols>
    <col min="1" max="1" width="35.7265625" style="458" customWidth="1"/>
    <col min="2" max="2" width="13.81640625" style="458" customWidth="1"/>
    <col min="3" max="3" width="14.54296875" style="458" customWidth="1"/>
    <col min="4" max="4" width="22.453125" style="458" bestFit="1" customWidth="1"/>
    <col min="5" max="5" width="17.81640625" style="458" bestFit="1" customWidth="1"/>
    <col min="6" max="6" width="24.1796875" style="458" bestFit="1" customWidth="1"/>
    <col min="7" max="7" width="11.453125" style="458" bestFit="1" customWidth="1"/>
    <col min="8" max="8" width="17.81640625" style="458" bestFit="1" customWidth="1"/>
    <col min="9" max="9" width="11.453125" style="458" bestFit="1" customWidth="1"/>
    <col min="10" max="16384" width="8.7265625" style="458"/>
  </cols>
  <sheetData>
    <row r="1" spans="1:6">
      <c r="A1" s="524" t="s">
        <v>212</v>
      </c>
      <c r="B1" s="19"/>
      <c r="C1" s="19"/>
      <c r="D1" s="19"/>
      <c r="E1" s="460"/>
      <c r="F1" s="460"/>
    </row>
    <row r="2" spans="1:6">
      <c r="A2" s="524"/>
      <c r="B2" s="19"/>
      <c r="C2" s="19"/>
      <c r="D2" s="19"/>
      <c r="E2" s="460"/>
      <c r="F2" s="460"/>
    </row>
    <row r="3" spans="1:6">
      <c r="A3" s="468" t="s">
        <v>42</v>
      </c>
      <c r="B3" s="469"/>
      <c r="C3" s="19"/>
      <c r="D3" s="19"/>
      <c r="E3" s="16" t="s">
        <v>41</v>
      </c>
      <c r="F3" s="16" t="s">
        <v>5</v>
      </c>
    </row>
    <row r="4" spans="1:6">
      <c r="A4" s="470" t="s">
        <v>197</v>
      </c>
      <c r="B4" s="471">
        <v>1000000</v>
      </c>
      <c r="C4" s="19"/>
      <c r="D4" s="19"/>
      <c r="E4" s="472">
        <v>44550</v>
      </c>
      <c r="F4" s="17">
        <v>1000000</v>
      </c>
    </row>
    <row r="5" spans="1:6">
      <c r="A5" s="473" t="s">
        <v>204</v>
      </c>
      <c r="B5" s="474">
        <v>4</v>
      </c>
      <c r="C5" s="460"/>
      <c r="D5" s="460"/>
      <c r="E5" s="472"/>
      <c r="F5" s="17"/>
    </row>
    <row r="6" spans="1:6">
      <c r="A6" s="470" t="s">
        <v>44</v>
      </c>
      <c r="B6" s="22">
        <v>45000</v>
      </c>
      <c r="C6" s="460"/>
      <c r="D6" s="460"/>
      <c r="E6" s="475" t="s">
        <v>43</v>
      </c>
      <c r="F6" s="476">
        <f>F4</f>
        <v>1000000</v>
      </c>
    </row>
    <row r="7" spans="1:6">
      <c r="A7" s="477" t="s">
        <v>45</v>
      </c>
      <c r="B7" s="478">
        <v>6</v>
      </c>
      <c r="C7" s="460"/>
      <c r="D7" s="460"/>
      <c r="E7" s="460"/>
      <c r="F7" s="460"/>
    </row>
    <row r="8" spans="1:6">
      <c r="A8" s="473" t="s">
        <v>205</v>
      </c>
      <c r="B8" s="474">
        <v>6</v>
      </c>
      <c r="C8" s="19"/>
      <c r="D8" s="460"/>
      <c r="E8" s="460"/>
      <c r="F8" s="460"/>
    </row>
    <row r="9" spans="1:6">
      <c r="A9" s="470" t="s">
        <v>44</v>
      </c>
      <c r="B9" s="22">
        <v>47557</v>
      </c>
      <c r="C9" s="19"/>
      <c r="D9" s="460"/>
      <c r="E9" s="460"/>
      <c r="F9" s="460"/>
    </row>
    <row r="10" spans="1:6">
      <c r="A10" s="477" t="s">
        <v>46</v>
      </c>
      <c r="B10" s="478">
        <v>3</v>
      </c>
      <c r="C10" s="19"/>
      <c r="D10" s="460"/>
      <c r="E10" s="460"/>
      <c r="F10" s="460"/>
    </row>
    <row r="11" spans="1:6" hidden="1">
      <c r="A11" s="470" t="s">
        <v>47</v>
      </c>
      <c r="B11" s="23" t="s">
        <v>48</v>
      </c>
      <c r="C11" s="19"/>
      <c r="D11" s="461"/>
      <c r="E11" s="24"/>
      <c r="F11" s="460"/>
    </row>
    <row r="12" spans="1:6" hidden="1">
      <c r="A12" s="470" t="s">
        <v>49</v>
      </c>
      <c r="B12" s="471" t="s">
        <v>50</v>
      </c>
      <c r="C12" s="19"/>
      <c r="D12" s="19"/>
      <c r="E12" s="24"/>
      <c r="F12" s="460"/>
    </row>
    <row r="13" spans="1:6">
      <c r="A13" s="19"/>
      <c r="B13" s="19"/>
      <c r="C13" s="19"/>
      <c r="D13" s="19"/>
      <c r="E13" s="19"/>
      <c r="F13" s="460"/>
    </row>
    <row r="14" spans="1:6">
      <c r="A14" s="19"/>
      <c r="B14" s="19"/>
      <c r="C14" s="19"/>
      <c r="D14" s="19"/>
      <c r="E14" s="19"/>
      <c r="F14" s="460"/>
    </row>
    <row r="15" spans="1:6" ht="28">
      <c r="A15" s="479" t="s">
        <v>4</v>
      </c>
      <c r="B15" s="480" t="s">
        <v>51</v>
      </c>
      <c r="C15" s="479" t="s">
        <v>18</v>
      </c>
      <c r="D15" s="480" t="s">
        <v>52</v>
      </c>
      <c r="E15" s="19"/>
      <c r="F15" s="460"/>
    </row>
    <row r="16" spans="1:6" ht="15" thickBot="1">
      <c r="A16" s="481">
        <f>E4</f>
        <v>44550</v>
      </c>
      <c r="B16" s="19">
        <f>F4</f>
        <v>1000000</v>
      </c>
      <c r="C16" s="19">
        <f>B16</f>
        <v>1000000</v>
      </c>
      <c r="D16" s="21">
        <v>0</v>
      </c>
      <c r="E16" s="19"/>
      <c r="F16" s="460"/>
    </row>
    <row r="17" spans="1:6">
      <c r="A17" s="482">
        <f>B6</f>
        <v>45000</v>
      </c>
      <c r="B17" s="18"/>
      <c r="C17" s="18">
        <f>C16-D17</f>
        <v>900000</v>
      </c>
      <c r="D17" s="483">
        <f>ROUND(($F$6)/($B$5+$B$8),2)</f>
        <v>100000</v>
      </c>
      <c r="E17" s="19"/>
      <c r="F17" s="19"/>
    </row>
    <row r="18" spans="1:6">
      <c r="A18" s="484">
        <f>EDATE(A17,6)</f>
        <v>45184</v>
      </c>
      <c r="B18" s="19"/>
      <c r="C18" s="19">
        <f t="shared" ref="C18:C36" si="0">C17-D18</f>
        <v>800000</v>
      </c>
      <c r="D18" s="485">
        <f>ROUND(($F$6)/($B$5+$B$8),2)</f>
        <v>100000</v>
      </c>
      <c r="E18" s="460"/>
      <c r="F18" s="460"/>
    </row>
    <row r="19" spans="1:6">
      <c r="A19" s="484">
        <f t="shared" ref="A19:A30" si="1">EDATE(A18,6)</f>
        <v>45366</v>
      </c>
      <c r="B19" s="19"/>
      <c r="C19" s="19">
        <f t="shared" si="0"/>
        <v>700000</v>
      </c>
      <c r="D19" s="485">
        <f>ROUND(($F$6)/($B$5+$B$8),2)</f>
        <v>100000</v>
      </c>
      <c r="E19" s="460"/>
      <c r="F19" s="460" t="s">
        <v>53</v>
      </c>
    </row>
    <row r="20" spans="1:6" ht="15" thickBot="1">
      <c r="A20" s="484">
        <f t="shared" si="1"/>
        <v>45550</v>
      </c>
      <c r="B20" s="19"/>
      <c r="C20" s="19">
        <f t="shared" si="0"/>
        <v>600000</v>
      </c>
      <c r="D20" s="486">
        <f>ROUND(($F$6)/($B$5+$B$8),2)</f>
        <v>100000</v>
      </c>
      <c r="E20" s="460"/>
      <c r="F20" s="460"/>
    </row>
    <row r="21" spans="1:6">
      <c r="A21" s="487">
        <f t="shared" si="1"/>
        <v>45731</v>
      </c>
      <c r="B21" s="19"/>
      <c r="C21" s="19">
        <f>C20</f>
        <v>600000</v>
      </c>
      <c r="D21" s="488">
        <v>0</v>
      </c>
      <c r="E21" s="460"/>
      <c r="F21" s="460"/>
    </row>
    <row r="22" spans="1:6">
      <c r="A22" s="487">
        <f t="shared" si="1"/>
        <v>45915</v>
      </c>
      <c r="B22" s="19"/>
      <c r="C22" s="19">
        <f>C21</f>
        <v>600000</v>
      </c>
      <c r="D22" s="488">
        <f>D21</f>
        <v>0</v>
      </c>
      <c r="E22" s="460"/>
      <c r="F22" s="460"/>
    </row>
    <row r="23" spans="1:6">
      <c r="A23" s="487">
        <f t="shared" si="1"/>
        <v>46096</v>
      </c>
      <c r="B23" s="19"/>
      <c r="C23" s="19">
        <f>C22</f>
        <v>600000</v>
      </c>
      <c r="D23" s="488">
        <f>D22</f>
        <v>0</v>
      </c>
      <c r="E23" s="460"/>
      <c r="F23" s="460"/>
    </row>
    <row r="24" spans="1:6">
      <c r="A24" s="487">
        <f t="shared" si="1"/>
        <v>46280</v>
      </c>
      <c r="B24" s="19"/>
      <c r="C24" s="19">
        <f>C23</f>
        <v>600000</v>
      </c>
      <c r="D24" s="488">
        <f>D23</f>
        <v>0</v>
      </c>
      <c r="E24" s="460"/>
      <c r="F24" s="460"/>
    </row>
    <row r="25" spans="1:6">
      <c r="A25" s="487">
        <f t="shared" si="1"/>
        <v>46461</v>
      </c>
      <c r="B25" s="19"/>
      <c r="C25" s="19">
        <f t="shared" si="0"/>
        <v>600000</v>
      </c>
      <c r="D25" s="488">
        <v>0</v>
      </c>
      <c r="E25" s="460"/>
      <c r="F25" s="460"/>
    </row>
    <row r="26" spans="1:6">
      <c r="A26" s="487">
        <f t="shared" si="1"/>
        <v>46645</v>
      </c>
      <c r="B26" s="19"/>
      <c r="C26" s="19">
        <f t="shared" si="0"/>
        <v>600000</v>
      </c>
      <c r="D26" s="20">
        <v>0</v>
      </c>
      <c r="E26" s="460"/>
      <c r="F26" s="460"/>
    </row>
    <row r="27" spans="1:6">
      <c r="A27" s="487">
        <f t="shared" si="1"/>
        <v>46827</v>
      </c>
      <c r="B27" s="19"/>
      <c r="C27" s="19">
        <f t="shared" si="0"/>
        <v>600000</v>
      </c>
      <c r="D27" s="20">
        <v>0</v>
      </c>
      <c r="E27" s="460"/>
      <c r="F27" s="460"/>
    </row>
    <row r="28" spans="1:6">
      <c r="A28" s="487">
        <f t="shared" si="1"/>
        <v>47011</v>
      </c>
      <c r="B28" s="19"/>
      <c r="C28" s="19">
        <f t="shared" si="0"/>
        <v>600000</v>
      </c>
      <c r="D28" s="20">
        <v>0</v>
      </c>
      <c r="E28" s="460"/>
      <c r="F28" s="460"/>
    </row>
    <row r="29" spans="1:6">
      <c r="A29" s="487">
        <f t="shared" si="1"/>
        <v>47192</v>
      </c>
      <c r="B29" s="19"/>
      <c r="C29" s="19">
        <f t="shared" si="0"/>
        <v>600000</v>
      </c>
      <c r="D29" s="20">
        <v>0</v>
      </c>
      <c r="E29" s="460"/>
      <c r="F29" s="460"/>
    </row>
    <row r="30" spans="1:6" ht="15" thickBot="1">
      <c r="A30" s="487">
        <f t="shared" si="1"/>
        <v>47376</v>
      </c>
      <c r="B30" s="19"/>
      <c r="C30" s="19">
        <f t="shared" si="0"/>
        <v>600000</v>
      </c>
      <c r="D30" s="20">
        <v>0</v>
      </c>
      <c r="E30" s="460"/>
      <c r="F30" s="460"/>
    </row>
    <row r="31" spans="1:6">
      <c r="A31" s="482">
        <f>B9</f>
        <v>47557</v>
      </c>
      <c r="B31" s="18"/>
      <c r="C31" s="18">
        <f t="shared" si="0"/>
        <v>500000</v>
      </c>
      <c r="D31" s="483">
        <f t="shared" ref="D31:D36" si="2">ROUND(($F$6)/($B$5+$B$8),2)</f>
        <v>100000</v>
      </c>
      <c r="E31" s="460"/>
      <c r="F31" s="460"/>
    </row>
    <row r="32" spans="1:6">
      <c r="A32" s="484">
        <f>EDATE(A31,$B$10)</f>
        <v>47649</v>
      </c>
      <c r="B32" s="19"/>
      <c r="C32" s="19">
        <f t="shared" si="0"/>
        <v>400000</v>
      </c>
      <c r="D32" s="485">
        <f t="shared" si="2"/>
        <v>100000</v>
      </c>
      <c r="E32" s="19"/>
      <c r="F32" s="460"/>
    </row>
    <row r="33" spans="1:6">
      <c r="A33" s="484">
        <f t="shared" ref="A33:A36" si="3">EDATE(A32,$B$10)</f>
        <v>47741</v>
      </c>
      <c r="B33" s="19"/>
      <c r="C33" s="19">
        <f t="shared" si="0"/>
        <v>300000</v>
      </c>
      <c r="D33" s="485">
        <f t="shared" si="2"/>
        <v>100000</v>
      </c>
      <c r="E33" s="19"/>
      <c r="F33" s="460"/>
    </row>
    <row r="34" spans="1:6">
      <c r="A34" s="484">
        <f t="shared" si="3"/>
        <v>47832</v>
      </c>
      <c r="B34" s="19"/>
      <c r="C34" s="19">
        <f t="shared" si="0"/>
        <v>200000</v>
      </c>
      <c r="D34" s="485">
        <f t="shared" si="2"/>
        <v>100000</v>
      </c>
      <c r="E34" s="19"/>
      <c r="F34" s="460" t="s">
        <v>54</v>
      </c>
    </row>
    <row r="35" spans="1:6">
      <c r="A35" s="484">
        <f t="shared" si="3"/>
        <v>47922</v>
      </c>
      <c r="B35" s="19"/>
      <c r="C35" s="19">
        <f t="shared" si="0"/>
        <v>100000</v>
      </c>
      <c r="D35" s="485">
        <f t="shared" si="2"/>
        <v>100000</v>
      </c>
      <c r="E35" s="19"/>
      <c r="F35" s="460"/>
    </row>
    <row r="36" spans="1:6" ht="15" thickBot="1">
      <c r="A36" s="489">
        <f t="shared" si="3"/>
        <v>48014</v>
      </c>
      <c r="B36" s="157"/>
      <c r="C36" s="157">
        <f t="shared" si="0"/>
        <v>0</v>
      </c>
      <c r="D36" s="486">
        <f t="shared" si="2"/>
        <v>100000</v>
      </c>
      <c r="E36" s="19"/>
      <c r="F36" s="460"/>
    </row>
    <row r="37" spans="1:6">
      <c r="A37" s="484"/>
      <c r="B37" s="19"/>
      <c r="C37" s="19"/>
      <c r="D37" s="488"/>
      <c r="E37" s="19"/>
      <c r="F37" s="460"/>
    </row>
    <row r="38" spans="1:6">
      <c r="A38" s="490"/>
      <c r="B38" s="1"/>
      <c r="C38" s="1"/>
      <c r="D38" s="491"/>
      <c r="E38" s="19"/>
      <c r="F38" s="460"/>
    </row>
    <row r="39" spans="1:6">
      <c r="A39" s="490"/>
      <c r="B39" s="1"/>
      <c r="C39" s="1"/>
      <c r="D39" s="491"/>
      <c r="E39" s="1"/>
    </row>
    <row r="40" spans="1:6">
      <c r="A40" s="490"/>
      <c r="B40" s="1"/>
      <c r="C40" s="1"/>
      <c r="D40" s="491"/>
      <c r="E40" s="1"/>
    </row>
    <row r="41" spans="1:6">
      <c r="A41" s="490"/>
      <c r="B41" s="1"/>
      <c r="C41" s="1"/>
      <c r="D41" s="491"/>
      <c r="E41" s="1"/>
    </row>
    <row r="42" spans="1:6">
      <c r="A42" s="490"/>
      <c r="B42" s="1"/>
      <c r="C42" s="1"/>
      <c r="D42" s="491"/>
      <c r="E42" s="1"/>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790E3-42DA-4895-8281-EA4678F2A579}">
  <sheetPr>
    <tabColor theme="7"/>
  </sheetPr>
  <dimension ref="A1:F24"/>
  <sheetViews>
    <sheetView zoomScaleNormal="100" workbookViewId="0">
      <selection activeCell="F5" sqref="F5"/>
    </sheetView>
  </sheetViews>
  <sheetFormatPr defaultRowHeight="14.5"/>
  <cols>
    <col min="1" max="1" width="35.7265625" style="458" customWidth="1"/>
    <col min="2" max="2" width="13.81640625" style="458" customWidth="1"/>
    <col min="3" max="3" width="15.26953125" style="458" customWidth="1"/>
    <col min="4" max="4" width="22.81640625" style="458" bestFit="1" customWidth="1"/>
    <col min="5" max="5" width="12.54296875" style="458" bestFit="1" customWidth="1"/>
    <col min="6" max="6" width="26.81640625" style="458" bestFit="1" customWidth="1"/>
    <col min="7" max="7" width="11.453125" style="458" bestFit="1" customWidth="1"/>
    <col min="8" max="8" width="17.81640625" style="458" bestFit="1" customWidth="1"/>
    <col min="9" max="9" width="13.26953125" style="458" bestFit="1" customWidth="1"/>
    <col min="10" max="16384" width="8.7265625" style="458"/>
  </cols>
  <sheetData>
    <row r="1" spans="1:6">
      <c r="A1" s="15" t="s">
        <v>213</v>
      </c>
      <c r="B1" s="19"/>
      <c r="C1" s="19"/>
      <c r="D1" s="460"/>
      <c r="E1" s="460"/>
      <c r="F1" s="460"/>
    </row>
    <row r="2" spans="1:6">
      <c r="A2" s="468"/>
      <c r="B2" s="469"/>
      <c r="C2" s="19"/>
      <c r="D2" s="460"/>
      <c r="E2" s="460"/>
      <c r="F2" s="460"/>
    </row>
    <row r="3" spans="1:6">
      <c r="A3" s="470" t="s">
        <v>197</v>
      </c>
      <c r="B3" s="471">
        <f>E6</f>
        <v>1500000</v>
      </c>
      <c r="C3" s="19"/>
      <c r="D3" s="16" t="s">
        <v>41</v>
      </c>
      <c r="E3" s="16" t="s">
        <v>5</v>
      </c>
      <c r="F3" s="460"/>
    </row>
    <row r="4" spans="1:6">
      <c r="A4" s="473" t="s">
        <v>55</v>
      </c>
      <c r="B4" s="474">
        <v>10</v>
      </c>
      <c r="C4" s="460"/>
      <c r="D4" s="472">
        <v>44550</v>
      </c>
      <c r="E4" s="17">
        <v>1000000</v>
      </c>
      <c r="F4" s="460"/>
    </row>
    <row r="5" spans="1:6">
      <c r="A5" s="470" t="s">
        <v>44</v>
      </c>
      <c r="B5" s="22">
        <v>45000</v>
      </c>
      <c r="C5" s="460"/>
      <c r="D5" s="472">
        <v>45117</v>
      </c>
      <c r="E5" s="17">
        <v>500000</v>
      </c>
      <c r="F5" s="460"/>
    </row>
    <row r="6" spans="1:6">
      <c r="A6" s="477" t="s">
        <v>45</v>
      </c>
      <c r="B6" s="478">
        <v>6</v>
      </c>
      <c r="C6" s="460"/>
      <c r="D6" s="475" t="s">
        <v>43</v>
      </c>
      <c r="E6" s="476">
        <f>SUM(E4:E5)</f>
        <v>1500000</v>
      </c>
      <c r="F6" s="460"/>
    </row>
    <row r="7" spans="1:6" hidden="1">
      <c r="A7" s="470" t="s">
        <v>47</v>
      </c>
      <c r="B7" s="23" t="s">
        <v>48</v>
      </c>
      <c r="C7" s="19"/>
      <c r="D7" s="461"/>
      <c r="E7" s="24"/>
      <c r="F7" s="460"/>
    </row>
    <row r="8" spans="1:6" hidden="1">
      <c r="A8" s="470" t="s">
        <v>49</v>
      </c>
      <c r="B8" s="471" t="s">
        <v>50</v>
      </c>
      <c r="C8" s="19"/>
      <c r="D8" s="19"/>
      <c r="E8" s="24"/>
      <c r="F8" s="460"/>
    </row>
    <row r="9" spans="1:6">
      <c r="A9" s="19"/>
      <c r="B9" s="19"/>
      <c r="C9" s="19"/>
      <c r="D9" s="19"/>
      <c r="E9" s="19"/>
      <c r="F9" s="460"/>
    </row>
    <row r="10" spans="1:6">
      <c r="A10" s="19"/>
      <c r="B10" s="19"/>
      <c r="C10" s="19"/>
      <c r="D10" s="19"/>
      <c r="E10" s="19"/>
      <c r="F10" s="460"/>
    </row>
    <row r="11" spans="1:6" ht="28">
      <c r="A11" s="479" t="s">
        <v>4</v>
      </c>
      <c r="B11" s="480" t="s">
        <v>51</v>
      </c>
      <c r="C11" s="479" t="s">
        <v>18</v>
      </c>
      <c r="D11" s="480" t="s">
        <v>52</v>
      </c>
      <c r="E11" s="19"/>
      <c r="F11" s="460"/>
    </row>
    <row r="12" spans="1:6">
      <c r="A12" s="481">
        <f>D4</f>
        <v>44550</v>
      </c>
      <c r="B12" s="19">
        <f>E4</f>
        <v>1000000</v>
      </c>
      <c r="C12" s="19">
        <f>B12</f>
        <v>1000000</v>
      </c>
      <c r="D12" s="21">
        <v>0</v>
      </c>
      <c r="E12" s="19"/>
      <c r="F12" s="460"/>
    </row>
    <row r="13" spans="1:6">
      <c r="A13" s="482">
        <f>B5</f>
        <v>45000</v>
      </c>
      <c r="B13" s="18"/>
      <c r="C13" s="18">
        <f>C12-D13</f>
        <v>900000</v>
      </c>
      <c r="D13" s="492">
        <f>ROUND(($E$4)/($B$4),2)</f>
        <v>100000</v>
      </c>
      <c r="E13" s="19"/>
      <c r="F13" s="19"/>
    </row>
    <row r="14" spans="1:6">
      <c r="A14" s="481">
        <f>D5</f>
        <v>45117</v>
      </c>
      <c r="B14" s="493">
        <f>E5</f>
        <v>500000</v>
      </c>
      <c r="C14" s="493">
        <f>C13+B14</f>
        <v>1400000</v>
      </c>
      <c r="D14" s="460"/>
      <c r="E14" s="460"/>
      <c r="F14" s="460"/>
    </row>
    <row r="15" spans="1:6">
      <c r="A15" s="484">
        <f>EDATE(A13,6)</f>
        <v>45184</v>
      </c>
      <c r="B15" s="19"/>
      <c r="C15" s="19">
        <f>C14-D15</f>
        <v>1244444.44</v>
      </c>
      <c r="D15" s="488">
        <f>ROUND((C14)/(COUNT(A15:$A$23)),2)</f>
        <v>155555.56</v>
      </c>
      <c r="E15" s="460"/>
      <c r="F15" s="460"/>
    </row>
    <row r="16" spans="1:6">
      <c r="A16" s="484">
        <f t="shared" ref="A16:A23" si="0">EDATE(A15,6)</f>
        <v>45366</v>
      </c>
      <c r="B16" s="19"/>
      <c r="C16" s="19">
        <f t="shared" ref="C16:C22" si="1">C15-D16</f>
        <v>1088888.8799999999</v>
      </c>
      <c r="D16" s="488">
        <f>ROUND((C15)/(COUNT(A16:$A$23)),2)</f>
        <v>155555.56</v>
      </c>
      <c r="E16" s="460"/>
    </row>
    <row r="17" spans="1:6">
      <c r="A17" s="484">
        <f t="shared" si="0"/>
        <v>45550</v>
      </c>
      <c r="B17" s="19"/>
      <c r="C17" s="19">
        <f t="shared" si="1"/>
        <v>933333.32999999984</v>
      </c>
      <c r="D17" s="488">
        <f>ROUND((C16)/(COUNT(A17:$A$23)),2)</f>
        <v>155555.54999999999</v>
      </c>
      <c r="E17" s="460"/>
      <c r="F17" s="460"/>
    </row>
    <row r="18" spans="1:6">
      <c r="A18" s="484">
        <f t="shared" si="0"/>
        <v>45731</v>
      </c>
      <c r="B18" s="19"/>
      <c r="C18" s="19">
        <f t="shared" si="1"/>
        <v>777777.76999999979</v>
      </c>
      <c r="D18" s="488">
        <f>ROUND((C17)/(COUNT(A18:$A$23)),2)</f>
        <v>155555.56</v>
      </c>
      <c r="E18" s="460"/>
      <c r="F18" s="460"/>
    </row>
    <row r="19" spans="1:6">
      <c r="A19" s="484">
        <f t="shared" si="0"/>
        <v>45915</v>
      </c>
      <c r="B19" s="19"/>
      <c r="C19" s="19">
        <f t="shared" si="1"/>
        <v>622222.21999999974</v>
      </c>
      <c r="D19" s="488">
        <f>ROUND((C18)/(COUNT(A19:$A$23)),2)</f>
        <v>155555.54999999999</v>
      </c>
      <c r="E19" s="460"/>
      <c r="F19" s="460" t="s">
        <v>56</v>
      </c>
    </row>
    <row r="20" spans="1:6" ht="16.5">
      <c r="A20" s="484">
        <f t="shared" si="0"/>
        <v>46096</v>
      </c>
      <c r="B20" s="19"/>
      <c r="C20" s="19">
        <f t="shared" si="1"/>
        <v>466666.65999999974</v>
      </c>
      <c r="D20" s="488">
        <f>ROUND((C19)/(COUNT(A20:$A$23)),2)</f>
        <v>155555.56</v>
      </c>
      <c r="E20" s="460"/>
      <c r="F20" s="460" t="s">
        <v>57</v>
      </c>
    </row>
    <row r="21" spans="1:6">
      <c r="A21" s="484">
        <f t="shared" si="0"/>
        <v>46280</v>
      </c>
      <c r="B21" s="19"/>
      <c r="C21" s="19">
        <f t="shared" si="1"/>
        <v>311111.10999999975</v>
      </c>
      <c r="D21" s="488">
        <f>ROUND((C20)/(COUNT(A21:$A$23)),2)</f>
        <v>155555.54999999999</v>
      </c>
      <c r="E21" s="460"/>
      <c r="F21" s="460"/>
    </row>
    <row r="22" spans="1:6">
      <c r="A22" s="484">
        <f t="shared" si="0"/>
        <v>46461</v>
      </c>
      <c r="B22" s="19"/>
      <c r="C22" s="19">
        <f t="shared" si="1"/>
        <v>155555.54999999976</v>
      </c>
      <c r="D22" s="488">
        <f>ROUND((C21)/(COUNT(A22:$A$23)),2)</f>
        <v>155555.56</v>
      </c>
      <c r="E22" s="460"/>
      <c r="F22" s="460"/>
    </row>
    <row r="23" spans="1:6">
      <c r="A23" s="489">
        <f t="shared" si="0"/>
        <v>46645</v>
      </c>
      <c r="B23" s="157"/>
      <c r="C23" s="157">
        <f>C22-D23</f>
        <v>0</v>
      </c>
      <c r="D23" s="494">
        <f>C22/1</f>
        <v>155555.54999999976</v>
      </c>
      <c r="E23" s="460"/>
      <c r="F23" s="460"/>
    </row>
    <row r="24" spans="1:6">
      <c r="A24" s="460"/>
      <c r="B24" s="460"/>
      <c r="C24" s="460"/>
      <c r="D24" s="460"/>
      <c r="E24" s="460"/>
      <c r="F24" s="460"/>
    </row>
  </sheetData>
  <pageMargins left="0.7" right="0.7" top="0.75" bottom="0.75" header="0.3" footer="0.3"/>
  <pageSetup paperSize="9" orientation="portrait" r:id="rId1"/>
  <ignoredErrors>
    <ignoredError sqref="C14"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877C6-1B2C-4689-AE62-4884B6D12E86}">
  <sheetPr>
    <tabColor theme="8"/>
  </sheetPr>
  <dimension ref="A1:I68"/>
  <sheetViews>
    <sheetView zoomScaleNormal="100" workbookViewId="0"/>
  </sheetViews>
  <sheetFormatPr defaultRowHeight="14.5"/>
  <cols>
    <col min="1" max="1" width="35.1796875" customWidth="1"/>
    <col min="2" max="2" width="24.1796875" customWidth="1"/>
    <col min="3" max="3" width="14.26953125" bestFit="1" customWidth="1"/>
    <col min="4" max="4" width="11.453125" bestFit="1" customWidth="1"/>
    <col min="5" max="5" width="21.453125" bestFit="1" customWidth="1"/>
    <col min="6" max="6" width="22.453125" bestFit="1" customWidth="1"/>
    <col min="7" max="7" width="4.453125" customWidth="1"/>
    <col min="8" max="8" width="34.1796875" customWidth="1"/>
    <col min="9" max="9" width="1.1796875" customWidth="1"/>
    <col min="10" max="10" width="17.81640625" bestFit="1" customWidth="1"/>
    <col min="11" max="11" width="13.81640625" bestFit="1" customWidth="1"/>
    <col min="12" max="12" width="12.7265625" bestFit="1" customWidth="1"/>
  </cols>
  <sheetData>
    <row r="1" spans="1:9">
      <c r="A1" s="524" t="s">
        <v>228</v>
      </c>
      <c r="B1" s="36"/>
      <c r="C1" s="36"/>
      <c r="D1" s="36"/>
      <c r="E1" s="6"/>
      <c r="G1" s="6"/>
      <c r="H1" s="6"/>
      <c r="I1" s="6"/>
    </row>
    <row r="2" spans="1:9">
      <c r="A2" s="34"/>
      <c r="B2" s="35"/>
      <c r="C2" s="36"/>
      <c r="D2" s="36"/>
      <c r="E2" s="16" t="s">
        <v>41</v>
      </c>
      <c r="F2" s="16" t="s">
        <v>5</v>
      </c>
      <c r="G2" s="6"/>
      <c r="H2" s="6"/>
      <c r="I2" s="6"/>
    </row>
    <row r="3" spans="1:9" ht="15.5">
      <c r="A3" s="400" t="s">
        <v>197</v>
      </c>
      <c r="B3" s="401">
        <v>1000000</v>
      </c>
      <c r="C3" s="36"/>
      <c r="D3" s="36"/>
      <c r="E3" s="26">
        <v>44550</v>
      </c>
      <c r="F3" s="27">
        <v>1000000</v>
      </c>
      <c r="G3" s="6"/>
      <c r="H3" s="6"/>
      <c r="I3" s="6"/>
    </row>
    <row r="4" spans="1:9" ht="15.5">
      <c r="A4" s="43" t="s">
        <v>44</v>
      </c>
      <c r="B4" s="43" t="s">
        <v>58</v>
      </c>
      <c r="C4" s="44" t="s">
        <v>59</v>
      </c>
      <c r="D4" s="45"/>
      <c r="E4" s="26"/>
      <c r="F4" s="27"/>
      <c r="G4" s="6"/>
      <c r="H4" s="46"/>
      <c r="I4" s="6"/>
    </row>
    <row r="5" spans="1:9" ht="15.5">
      <c r="A5" s="47">
        <v>45000</v>
      </c>
      <c r="B5" s="48">
        <v>5</v>
      </c>
      <c r="C5" s="73">
        <v>0.105</v>
      </c>
      <c r="D5" s="45"/>
      <c r="E5" s="28">
        <v>44824</v>
      </c>
      <c r="F5" s="27"/>
      <c r="G5" s="6"/>
      <c r="H5" s="46"/>
      <c r="I5" s="6"/>
    </row>
    <row r="6" spans="1:9" ht="15.5">
      <c r="A6" s="47">
        <v>45915</v>
      </c>
      <c r="B6" s="48">
        <v>4</v>
      </c>
      <c r="C6" s="73">
        <v>9.8000000000000004E-2</v>
      </c>
      <c r="D6" s="45"/>
      <c r="E6" s="29">
        <v>44936</v>
      </c>
      <c r="F6" s="30"/>
      <c r="G6" s="6"/>
      <c r="H6" s="46"/>
      <c r="I6" s="6"/>
    </row>
    <row r="7" spans="1:9" ht="15.5">
      <c r="A7" s="47">
        <v>46645</v>
      </c>
      <c r="B7" s="48">
        <v>1</v>
      </c>
      <c r="C7" s="73">
        <v>8.3000000000000004E-2</v>
      </c>
      <c r="D7" s="45"/>
      <c r="E7" s="28">
        <v>44967</v>
      </c>
      <c r="F7" s="31"/>
      <c r="G7" s="6"/>
      <c r="H7" s="46"/>
      <c r="I7" s="6"/>
    </row>
    <row r="8" spans="1:9" ht="15.5">
      <c r="A8" s="43" t="s">
        <v>45</v>
      </c>
      <c r="B8" s="661">
        <v>6</v>
      </c>
      <c r="C8" s="662"/>
      <c r="D8" s="49"/>
      <c r="E8" s="32" t="s">
        <v>43</v>
      </c>
      <c r="F8" s="33">
        <f>SUM(F3:F7)</f>
        <v>1000000</v>
      </c>
      <c r="G8" s="6"/>
      <c r="H8" s="46"/>
      <c r="I8" s="6"/>
    </row>
    <row r="9" spans="1:9" ht="15.5" hidden="1">
      <c r="A9" s="50" t="s">
        <v>47</v>
      </c>
      <c r="B9" s="51" t="s">
        <v>48</v>
      </c>
      <c r="C9" s="45"/>
      <c r="D9" s="45"/>
      <c r="E9" s="45"/>
      <c r="F9" s="45"/>
      <c r="G9" s="46"/>
      <c r="H9" s="46"/>
      <c r="I9" s="6"/>
    </row>
    <row r="10" spans="1:9" ht="15.5" hidden="1">
      <c r="A10" s="52" t="s">
        <v>49</v>
      </c>
      <c r="B10" s="53" t="s">
        <v>50</v>
      </c>
      <c r="C10" s="45"/>
      <c r="D10" s="45"/>
      <c r="E10" s="45"/>
      <c r="F10" s="45"/>
      <c r="G10" s="46"/>
      <c r="H10" s="46"/>
      <c r="I10" s="6"/>
    </row>
    <row r="11" spans="1:9" ht="15.5">
      <c r="A11" s="54"/>
      <c r="B11" s="55"/>
      <c r="C11" s="45"/>
      <c r="D11" s="56"/>
      <c r="E11" s="55"/>
      <c r="F11" s="45"/>
      <c r="G11" s="46"/>
      <c r="H11" s="46"/>
      <c r="I11" s="6"/>
    </row>
    <row r="12" spans="1:9" ht="46.5">
      <c r="A12" s="57" t="s">
        <v>4</v>
      </c>
      <c r="B12" s="57" t="s">
        <v>51</v>
      </c>
      <c r="C12" s="57" t="s">
        <v>18</v>
      </c>
      <c r="D12" s="58" t="s">
        <v>60</v>
      </c>
      <c r="E12" s="58" t="s">
        <v>61</v>
      </c>
      <c r="F12" s="59" t="s">
        <v>52</v>
      </c>
      <c r="G12" s="46"/>
      <c r="H12" s="46"/>
      <c r="I12" s="6"/>
    </row>
    <row r="13" spans="1:9" ht="15.5">
      <c r="A13" s="60">
        <f>E3</f>
        <v>44550</v>
      </c>
      <c r="B13" s="45">
        <f>F3</f>
        <v>1000000</v>
      </c>
      <c r="C13" s="45">
        <f>B13</f>
        <v>1000000</v>
      </c>
      <c r="D13" s="61"/>
      <c r="E13" s="45"/>
      <c r="F13" s="45"/>
      <c r="G13" s="46"/>
      <c r="H13" s="46"/>
      <c r="I13" s="6"/>
    </row>
    <row r="14" spans="1:9" ht="15.5" hidden="1">
      <c r="A14" s="60">
        <f>E5</f>
        <v>44824</v>
      </c>
      <c r="B14" s="45">
        <f>F5</f>
        <v>0</v>
      </c>
      <c r="C14" s="45">
        <f>C13+B14</f>
        <v>1000000</v>
      </c>
      <c r="D14" s="45"/>
      <c r="E14" s="45"/>
      <c r="F14" s="45"/>
      <c r="G14" s="46"/>
      <c r="H14" s="46"/>
      <c r="I14" s="6"/>
    </row>
    <row r="15" spans="1:9" ht="15.5" hidden="1">
      <c r="A15" s="60">
        <f>E6</f>
        <v>44936</v>
      </c>
      <c r="B15" s="45">
        <f>F6</f>
        <v>0</v>
      </c>
      <c r="C15" s="45">
        <f>C14+B15</f>
        <v>1000000</v>
      </c>
      <c r="D15" s="45"/>
      <c r="E15" s="45"/>
      <c r="F15" s="45"/>
      <c r="G15" s="46"/>
      <c r="H15" s="46"/>
      <c r="I15" s="6"/>
    </row>
    <row r="16" spans="1:9" ht="15.5" hidden="1">
      <c r="A16" s="62">
        <f>EDATE(A18,-1)</f>
        <v>44972</v>
      </c>
      <c r="B16" s="63" t="s">
        <v>62</v>
      </c>
      <c r="C16" s="45"/>
      <c r="D16" s="45"/>
      <c r="E16" s="45"/>
      <c r="F16" s="45"/>
      <c r="G16" s="46"/>
      <c r="H16" s="46"/>
      <c r="I16" s="6"/>
    </row>
    <row r="17" spans="1:9" ht="15.5" hidden="1">
      <c r="A17" s="60">
        <f>E7</f>
        <v>44967</v>
      </c>
      <c r="B17" s="45">
        <f>F7</f>
        <v>0</v>
      </c>
      <c r="C17" s="45">
        <f>C15+B17</f>
        <v>1000000</v>
      </c>
      <c r="D17" s="45"/>
      <c r="E17" s="45"/>
      <c r="F17" s="45"/>
      <c r="G17" s="46"/>
      <c r="H17" s="46"/>
      <c r="I17" s="6"/>
    </row>
    <row r="18" spans="1:9" ht="15.5">
      <c r="A18" s="64">
        <f>A5</f>
        <v>45000</v>
      </c>
      <c r="B18" s="65"/>
      <c r="C18" s="65">
        <f t="shared" ref="C18:C26" si="0">C17-F18</f>
        <v>895000</v>
      </c>
      <c r="D18" s="66">
        <f>$C$5</f>
        <v>0.105</v>
      </c>
      <c r="E18" s="66">
        <f>D18/SUM(D18:$D$27)</f>
        <v>0.10500000000000001</v>
      </c>
      <c r="F18" s="67">
        <f>ROUND(E18*C17,2)</f>
        <v>105000</v>
      </c>
      <c r="G18" s="68"/>
      <c r="H18" s="68"/>
      <c r="I18" s="6"/>
    </row>
    <row r="19" spans="1:9" ht="15.5">
      <c r="A19" s="69">
        <f t="shared" ref="A19:A26" si="1">EDATE(A18,$B$8)</f>
        <v>45184</v>
      </c>
      <c r="B19" s="45"/>
      <c r="C19" s="45">
        <f t="shared" si="0"/>
        <v>790000</v>
      </c>
      <c r="D19" s="70">
        <f t="shared" ref="D19:D20" si="2">$C$5</f>
        <v>0.105</v>
      </c>
      <c r="E19" s="70">
        <f>D19/SUM(D19:$D$27)</f>
        <v>0.11731843575418995</v>
      </c>
      <c r="F19" s="71">
        <f t="shared" ref="F19:F26" si="3">ROUND(E19*C18,2)</f>
        <v>105000</v>
      </c>
      <c r="G19" s="46"/>
      <c r="H19" s="46"/>
      <c r="I19" s="6"/>
    </row>
    <row r="20" spans="1:9" ht="15.5">
      <c r="A20" s="69">
        <f t="shared" si="1"/>
        <v>45366</v>
      </c>
      <c r="B20" s="45"/>
      <c r="C20" s="45">
        <f t="shared" si="0"/>
        <v>685000</v>
      </c>
      <c r="D20" s="70">
        <f t="shared" si="2"/>
        <v>0.105</v>
      </c>
      <c r="E20" s="70">
        <f>D20/SUM(D20:$D$27)</f>
        <v>0.13291139240506331</v>
      </c>
      <c r="F20" s="71">
        <f t="shared" si="3"/>
        <v>105000</v>
      </c>
      <c r="G20" s="46"/>
      <c r="H20" s="72" t="s">
        <v>63</v>
      </c>
      <c r="I20" s="6"/>
    </row>
    <row r="21" spans="1:9" ht="15.5">
      <c r="A21" s="69">
        <f t="shared" si="1"/>
        <v>45550</v>
      </c>
      <c r="B21" s="45"/>
      <c r="C21" s="45">
        <f t="shared" si="0"/>
        <v>580000</v>
      </c>
      <c r="D21" s="70">
        <f>D20</f>
        <v>0.105</v>
      </c>
      <c r="E21" s="70">
        <f>D21/SUM(D21:$D$27)</f>
        <v>0.15328467153284672</v>
      </c>
      <c r="F21" s="71">
        <f t="shared" si="3"/>
        <v>105000</v>
      </c>
      <c r="G21" s="46"/>
      <c r="H21" s="46"/>
      <c r="I21" s="6"/>
    </row>
    <row r="22" spans="1:9" ht="15.5">
      <c r="A22" s="69">
        <f t="shared" si="1"/>
        <v>45731</v>
      </c>
      <c r="B22" s="45"/>
      <c r="C22" s="45">
        <f t="shared" si="0"/>
        <v>475000</v>
      </c>
      <c r="D22" s="70">
        <f>D21</f>
        <v>0.105</v>
      </c>
      <c r="E22" s="70">
        <f>D22/SUM(D22:$D$27)</f>
        <v>0.18103448275862069</v>
      </c>
      <c r="F22" s="71">
        <f t="shared" si="3"/>
        <v>105000</v>
      </c>
      <c r="G22" s="46"/>
      <c r="H22" s="46"/>
      <c r="I22" s="6"/>
    </row>
    <row r="23" spans="1:9" ht="15.5">
      <c r="A23" s="64">
        <f t="shared" si="1"/>
        <v>45915</v>
      </c>
      <c r="B23" s="65"/>
      <c r="C23" s="65">
        <f t="shared" si="0"/>
        <v>377000</v>
      </c>
      <c r="D23" s="66">
        <f>C6</f>
        <v>9.8000000000000004E-2</v>
      </c>
      <c r="E23" s="66">
        <f>D23/SUM(D23:$D$27)</f>
        <v>0.2063157894736842</v>
      </c>
      <c r="F23" s="67">
        <f t="shared" si="3"/>
        <v>98000</v>
      </c>
      <c r="G23" s="68"/>
      <c r="H23" s="68"/>
      <c r="I23" s="6"/>
    </row>
    <row r="24" spans="1:9" ht="15.5">
      <c r="A24" s="69">
        <f t="shared" si="1"/>
        <v>46096</v>
      </c>
      <c r="B24" s="45"/>
      <c r="C24" s="45">
        <f t="shared" si="0"/>
        <v>279000</v>
      </c>
      <c r="D24" s="70">
        <f>D23</f>
        <v>9.8000000000000004E-2</v>
      </c>
      <c r="E24" s="70">
        <f>D24/SUM(D24:$D$27)</f>
        <v>0.259946949602122</v>
      </c>
      <c r="F24" s="71">
        <f t="shared" si="3"/>
        <v>98000</v>
      </c>
      <c r="G24" s="46"/>
      <c r="H24" s="663" t="s">
        <v>64</v>
      </c>
      <c r="I24" s="663"/>
    </row>
    <row r="25" spans="1:9" ht="15.5">
      <c r="A25" s="69">
        <f t="shared" si="1"/>
        <v>46280</v>
      </c>
      <c r="B25" s="45"/>
      <c r="C25" s="45">
        <f t="shared" si="0"/>
        <v>181000</v>
      </c>
      <c r="D25" s="70">
        <f>D24</f>
        <v>9.8000000000000004E-2</v>
      </c>
      <c r="E25" s="70">
        <f>D25/SUM(D25:$D$27)</f>
        <v>0.35125448028673834</v>
      </c>
      <c r="F25" s="71">
        <f t="shared" si="3"/>
        <v>98000</v>
      </c>
      <c r="G25" s="46"/>
      <c r="H25" s="46"/>
      <c r="I25" s="6"/>
    </row>
    <row r="26" spans="1:9" ht="15.5">
      <c r="A26" s="69">
        <f t="shared" si="1"/>
        <v>46461</v>
      </c>
      <c r="B26" s="45"/>
      <c r="C26" s="45">
        <f t="shared" si="0"/>
        <v>83000</v>
      </c>
      <c r="D26" s="70">
        <f>D25</f>
        <v>9.8000000000000004E-2</v>
      </c>
      <c r="E26" s="70">
        <f>D26/SUM(D26:$D$27)</f>
        <v>0.54143646408839785</v>
      </c>
      <c r="F26" s="71">
        <f t="shared" si="3"/>
        <v>98000</v>
      </c>
      <c r="G26" s="46"/>
      <c r="H26" s="46"/>
      <c r="I26" s="6"/>
    </row>
    <row r="27" spans="1:9" ht="15.5">
      <c r="A27" s="64">
        <f>EDATE(A26,$B$8)</f>
        <v>46645</v>
      </c>
      <c r="B27" s="65"/>
      <c r="C27" s="65">
        <f>C26-F27</f>
        <v>0</v>
      </c>
      <c r="D27" s="66">
        <f>C7</f>
        <v>8.3000000000000004E-2</v>
      </c>
      <c r="E27" s="66">
        <f>D27/SUM(D27:$D$27)</f>
        <v>1</v>
      </c>
      <c r="F27" s="67">
        <f>ROUND(E27*C26,2)</f>
        <v>83000</v>
      </c>
      <c r="G27" s="46"/>
      <c r="H27" s="663" t="s">
        <v>65</v>
      </c>
      <c r="I27" s="663"/>
    </row>
    <row r="28" spans="1:9">
      <c r="A28" s="37"/>
      <c r="B28" s="36"/>
      <c r="C28" s="36"/>
      <c r="D28" s="158">
        <f>SUM(D18:D27)</f>
        <v>0.99999999999999989</v>
      </c>
      <c r="E28" s="39"/>
      <c r="F28" s="40"/>
      <c r="G28" s="6"/>
      <c r="H28" s="6"/>
      <c r="I28" s="6"/>
    </row>
    <row r="29" spans="1:9">
      <c r="A29" s="37"/>
      <c r="B29" s="36"/>
      <c r="C29" s="36"/>
      <c r="D29" s="38"/>
      <c r="E29" s="39"/>
      <c r="F29" s="40"/>
      <c r="G29" s="6"/>
      <c r="H29" s="6"/>
      <c r="I29" s="6"/>
    </row>
    <row r="30" spans="1:9">
      <c r="A30" s="37"/>
      <c r="B30" s="36"/>
      <c r="C30" s="36"/>
      <c r="D30" s="38"/>
      <c r="E30" s="39"/>
      <c r="F30" s="40"/>
      <c r="G30" s="6"/>
      <c r="H30" s="6"/>
      <c r="I30" s="6"/>
    </row>
    <row r="31" spans="1:9">
      <c r="A31" s="37"/>
      <c r="B31" s="36"/>
      <c r="C31" s="36"/>
      <c r="D31" s="38"/>
      <c r="E31" s="39"/>
      <c r="F31" s="40"/>
      <c r="G31" s="6"/>
      <c r="H31" s="6"/>
    </row>
    <row r="32" spans="1:9">
      <c r="A32" s="37"/>
      <c r="B32" s="36"/>
      <c r="C32" s="36"/>
      <c r="D32" s="38"/>
      <c r="E32" s="39"/>
      <c r="F32" s="40"/>
      <c r="G32" s="6"/>
      <c r="H32" s="6"/>
    </row>
    <row r="33" spans="1:8">
      <c r="A33" s="37"/>
      <c r="B33" s="36"/>
      <c r="C33" s="36"/>
      <c r="D33" s="38"/>
      <c r="E33" s="39"/>
      <c r="F33" s="40"/>
      <c r="G33" s="6"/>
      <c r="H33" s="6"/>
    </row>
    <row r="34" spans="1:8">
      <c r="A34" s="37"/>
      <c r="B34" s="36"/>
      <c r="C34" s="36"/>
      <c r="D34" s="38"/>
      <c r="E34" s="39"/>
      <c r="F34" s="40"/>
      <c r="G34" s="6"/>
      <c r="H34" s="6"/>
    </row>
    <row r="35" spans="1:8">
      <c r="A35" s="37"/>
      <c r="B35" s="36"/>
      <c r="C35" s="36"/>
      <c r="D35" s="38"/>
      <c r="E35" s="39"/>
      <c r="F35" s="40"/>
      <c r="G35" s="6"/>
      <c r="H35" s="6"/>
    </row>
    <row r="36" spans="1:8">
      <c r="A36" s="37"/>
      <c r="B36" s="36"/>
      <c r="C36" s="36"/>
      <c r="D36" s="38"/>
      <c r="E36" s="39"/>
      <c r="F36" s="40"/>
      <c r="G36" s="6"/>
      <c r="H36" s="6"/>
    </row>
    <row r="37" spans="1:8">
      <c r="A37" s="37"/>
      <c r="B37" s="36"/>
      <c r="C37" s="36"/>
      <c r="D37" s="38"/>
      <c r="E37" s="39"/>
      <c r="F37" s="40"/>
      <c r="G37" s="6"/>
      <c r="H37" s="6"/>
    </row>
    <row r="38" spans="1:8">
      <c r="A38" s="37"/>
      <c r="B38" s="36"/>
      <c r="C38" s="36"/>
      <c r="D38" s="38"/>
      <c r="E38" s="39"/>
      <c r="F38" s="40"/>
      <c r="G38" s="6"/>
      <c r="H38" s="6"/>
    </row>
    <row r="39" spans="1:8">
      <c r="A39" s="37"/>
      <c r="B39" s="36"/>
      <c r="C39" s="36"/>
      <c r="D39" s="38"/>
      <c r="E39" s="39"/>
      <c r="F39" s="40"/>
      <c r="G39" s="6"/>
      <c r="H39" s="6"/>
    </row>
    <row r="40" spans="1:8">
      <c r="A40" s="37"/>
      <c r="B40" s="36"/>
      <c r="C40" s="36"/>
      <c r="D40" s="38"/>
      <c r="E40" s="39"/>
      <c r="F40" s="40"/>
      <c r="G40" s="6"/>
      <c r="H40" s="6"/>
    </row>
    <row r="41" spans="1:8">
      <c r="A41" s="37"/>
      <c r="B41" s="36"/>
      <c r="C41" s="36"/>
      <c r="D41" s="38"/>
      <c r="E41" s="39"/>
      <c r="F41" s="40"/>
      <c r="G41" s="6"/>
      <c r="H41" s="6"/>
    </row>
    <row r="42" spans="1:8">
      <c r="A42" s="37"/>
      <c r="B42" s="36"/>
      <c r="C42" s="36"/>
      <c r="D42" s="38"/>
      <c r="E42" s="39"/>
      <c r="F42" s="40"/>
      <c r="G42" s="6"/>
      <c r="H42" s="6"/>
    </row>
    <row r="43" spans="1:8">
      <c r="A43" s="37"/>
      <c r="B43" s="36"/>
      <c r="C43" s="36"/>
      <c r="D43" s="38"/>
      <c r="E43" s="39"/>
      <c r="F43" s="40"/>
      <c r="G43" s="6"/>
      <c r="H43" s="6"/>
    </row>
    <row r="44" spans="1:8">
      <c r="A44" s="37"/>
      <c r="B44" s="36"/>
      <c r="C44" s="36"/>
      <c r="D44" s="38"/>
      <c r="E44" s="39"/>
      <c r="F44" s="40"/>
      <c r="G44" s="6"/>
      <c r="H44" s="6"/>
    </row>
    <row r="45" spans="1:8">
      <c r="A45" s="37"/>
      <c r="B45" s="36"/>
      <c r="C45" s="36"/>
      <c r="D45" s="38"/>
      <c r="E45" s="39"/>
      <c r="F45" s="40"/>
      <c r="G45" s="6"/>
      <c r="H45" s="6"/>
    </row>
    <row r="46" spans="1:8">
      <c r="A46" s="37"/>
      <c r="B46" s="36"/>
      <c r="C46" s="36"/>
      <c r="D46" s="38"/>
      <c r="E46" s="39"/>
      <c r="F46" s="40"/>
      <c r="G46" s="6"/>
      <c r="H46" s="6"/>
    </row>
    <row r="47" spans="1:8">
      <c r="A47" s="37"/>
      <c r="B47" s="36"/>
      <c r="C47" s="36"/>
      <c r="D47" s="38"/>
      <c r="E47" s="39"/>
      <c r="F47" s="40"/>
      <c r="G47" s="6"/>
      <c r="H47" s="6"/>
    </row>
    <row r="48" spans="1:8">
      <c r="A48" s="37"/>
      <c r="B48" s="36"/>
      <c r="C48" s="36"/>
      <c r="D48" s="38"/>
      <c r="E48" s="39"/>
      <c r="F48" s="40"/>
      <c r="G48" s="6"/>
      <c r="H48" s="6"/>
    </row>
    <row r="49" spans="1:8">
      <c r="A49" s="37"/>
      <c r="B49" s="36"/>
      <c r="C49" s="36"/>
      <c r="D49" s="38"/>
      <c r="E49" s="39"/>
      <c r="F49" s="40"/>
      <c r="G49" s="6"/>
      <c r="H49" s="6"/>
    </row>
    <row r="50" spans="1:8">
      <c r="A50" s="37"/>
      <c r="B50" s="36"/>
      <c r="C50" s="36"/>
      <c r="D50" s="38"/>
      <c r="E50" s="39"/>
      <c r="F50" s="40"/>
      <c r="G50" s="6"/>
      <c r="H50" s="6"/>
    </row>
    <row r="51" spans="1:8">
      <c r="A51" s="37"/>
      <c r="B51" s="36"/>
      <c r="C51" s="36"/>
      <c r="D51" s="38"/>
      <c r="E51" s="39"/>
      <c r="F51" s="40"/>
      <c r="G51" s="6"/>
      <c r="H51" s="6"/>
    </row>
    <row r="52" spans="1:8">
      <c r="A52" s="41"/>
      <c r="B52" s="36"/>
      <c r="C52" s="36"/>
      <c r="D52" s="36"/>
      <c r="E52" s="42"/>
      <c r="F52" s="42"/>
      <c r="G52" s="6"/>
      <c r="H52" s="6"/>
    </row>
    <row r="53" spans="1:8">
      <c r="A53" s="6"/>
      <c r="B53" s="6"/>
      <c r="C53" s="6"/>
      <c r="D53" s="6"/>
      <c r="E53" s="6"/>
      <c r="F53" s="6"/>
      <c r="G53" s="6"/>
      <c r="H53" s="6"/>
    </row>
    <row r="54" spans="1:8">
      <c r="A54" s="6"/>
      <c r="B54" s="6"/>
      <c r="C54" s="6"/>
      <c r="D54" s="6"/>
      <c r="E54" s="6"/>
      <c r="F54" s="6"/>
      <c r="G54" s="6"/>
      <c r="H54" s="6"/>
    </row>
    <row r="55" spans="1:8">
      <c r="A55" s="6"/>
      <c r="B55" s="6"/>
      <c r="C55" s="6"/>
      <c r="D55" s="6"/>
      <c r="E55" s="6"/>
      <c r="F55" s="6"/>
      <c r="G55" s="6"/>
      <c r="H55" s="6"/>
    </row>
    <row r="56" spans="1:8">
      <c r="A56" s="6"/>
      <c r="B56" s="6"/>
      <c r="C56" s="6"/>
      <c r="D56" s="6"/>
      <c r="E56" s="6"/>
      <c r="F56" s="6"/>
      <c r="G56" s="6"/>
      <c r="H56" s="6"/>
    </row>
    <row r="57" spans="1:8">
      <c r="A57" s="6"/>
      <c r="B57" s="6"/>
      <c r="C57" s="6"/>
      <c r="D57" s="6"/>
      <c r="E57" s="6"/>
      <c r="F57" s="6"/>
      <c r="G57" s="6"/>
      <c r="H57" s="6"/>
    </row>
    <row r="58" spans="1:8">
      <c r="A58" s="6"/>
      <c r="B58" s="6"/>
      <c r="C58" s="6"/>
      <c r="D58" s="6"/>
      <c r="E58" s="6"/>
      <c r="F58" s="6"/>
      <c r="G58" s="6"/>
      <c r="H58" s="6"/>
    </row>
    <row r="59" spans="1:8">
      <c r="A59" s="6"/>
      <c r="B59" s="6"/>
      <c r="C59" s="6"/>
      <c r="D59" s="6"/>
      <c r="E59" s="6"/>
      <c r="F59" s="6"/>
      <c r="G59" s="6"/>
      <c r="H59" s="6"/>
    </row>
    <row r="60" spans="1:8">
      <c r="A60" s="6"/>
      <c r="B60" s="6"/>
      <c r="C60" s="6"/>
      <c r="D60" s="6"/>
      <c r="E60" s="6"/>
      <c r="F60" s="6"/>
      <c r="G60" s="6"/>
      <c r="H60" s="6"/>
    </row>
    <row r="61" spans="1:8">
      <c r="A61" s="6"/>
      <c r="B61" s="6"/>
      <c r="C61" s="6"/>
      <c r="D61" s="6"/>
      <c r="E61" s="6"/>
      <c r="F61" s="6"/>
      <c r="G61" s="6"/>
      <c r="H61" s="6"/>
    </row>
    <row r="62" spans="1:8">
      <c r="A62" s="6"/>
      <c r="B62" s="6"/>
      <c r="C62" s="6"/>
      <c r="D62" s="6"/>
      <c r="E62" s="6"/>
      <c r="F62" s="6"/>
      <c r="G62" s="6"/>
      <c r="H62" s="6"/>
    </row>
    <row r="63" spans="1:8">
      <c r="A63" s="6"/>
      <c r="B63" s="6"/>
      <c r="C63" s="6"/>
      <c r="D63" s="6"/>
      <c r="E63" s="6"/>
      <c r="F63" s="6"/>
      <c r="G63" s="6"/>
      <c r="H63" s="6"/>
    </row>
    <row r="64" spans="1:8">
      <c r="A64" s="6"/>
      <c r="B64" s="6"/>
      <c r="C64" s="6"/>
      <c r="D64" s="6"/>
      <c r="E64" s="6"/>
      <c r="F64" s="6"/>
      <c r="G64" s="6"/>
      <c r="H64" s="6"/>
    </row>
    <row r="65" spans="1:8">
      <c r="A65" s="6"/>
      <c r="B65" s="6"/>
      <c r="C65" s="6"/>
      <c r="D65" s="6"/>
      <c r="E65" s="6"/>
      <c r="F65" s="6"/>
      <c r="G65" s="6"/>
      <c r="H65" s="6"/>
    </row>
    <row r="66" spans="1:8">
      <c r="A66" s="6"/>
      <c r="B66" s="6"/>
      <c r="C66" s="6"/>
      <c r="D66" s="6"/>
      <c r="E66" s="6"/>
      <c r="F66" s="6"/>
      <c r="G66" s="6"/>
      <c r="H66" s="6"/>
    </row>
    <row r="67" spans="1:8">
      <c r="A67" s="6"/>
      <c r="B67" s="6"/>
      <c r="C67" s="6"/>
      <c r="D67" s="6"/>
      <c r="E67" s="6"/>
      <c r="F67" s="6"/>
      <c r="G67" s="6"/>
      <c r="H67" s="6"/>
    </row>
    <row r="68" spans="1:8">
      <c r="A68" s="6"/>
      <c r="B68" s="6"/>
      <c r="C68" s="6"/>
      <c r="D68" s="6"/>
      <c r="E68" s="6"/>
      <c r="F68" s="6"/>
      <c r="G68" s="6"/>
      <c r="H68" s="6"/>
    </row>
  </sheetData>
  <mergeCells count="3">
    <mergeCell ref="B8:C8"/>
    <mergeCell ref="H24:I24"/>
    <mergeCell ref="H27:I2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DB68B-A240-46C9-9E1C-D82F3AC9CF7B}">
  <dimension ref="A1:M45"/>
  <sheetViews>
    <sheetView workbookViewId="0">
      <selection activeCell="M1" sqref="M1"/>
    </sheetView>
  </sheetViews>
  <sheetFormatPr defaultColWidth="8.7265625" defaultRowHeight="14.5"/>
  <cols>
    <col min="1" max="1" width="23.81640625" style="496" customWidth="1"/>
    <col min="2" max="2" width="13.90625" style="496" bestFit="1" customWidth="1"/>
    <col min="3" max="3" width="12.08984375" style="496" bestFit="1" customWidth="1"/>
    <col min="4" max="4" width="5.7265625" style="496" customWidth="1"/>
    <col min="5" max="5" width="7" style="496" customWidth="1"/>
    <col min="6" max="6" width="10.54296875" style="496" customWidth="1"/>
    <col min="7" max="7" width="14.7265625" style="496" customWidth="1"/>
    <col min="8" max="8" width="9.7265625" style="496" bestFit="1" customWidth="1"/>
    <col min="9" max="9" width="11" style="496" customWidth="1"/>
    <col min="10" max="10" width="10.6328125" style="496" bestFit="1" customWidth="1"/>
    <col min="11" max="11" width="10.90625" style="167" bestFit="1" customWidth="1"/>
    <col min="12" max="12" width="11.36328125" style="167" bestFit="1" customWidth="1"/>
    <col min="13" max="16384" width="8.7265625" style="496"/>
  </cols>
  <sheetData>
    <row r="1" spans="1:13">
      <c r="A1" s="15" t="s">
        <v>214</v>
      </c>
      <c r="B1" s="495"/>
      <c r="C1" s="495"/>
      <c r="D1" s="495"/>
      <c r="E1" s="495"/>
      <c r="F1" s="159" t="s">
        <v>4</v>
      </c>
      <c r="G1" s="159" t="s">
        <v>66</v>
      </c>
      <c r="H1" s="495"/>
      <c r="I1" s="495"/>
      <c r="J1" s="495"/>
      <c r="K1" s="160"/>
      <c r="L1" s="160"/>
      <c r="M1" s="495"/>
    </row>
    <row r="2" spans="1:13">
      <c r="A2" s="495"/>
      <c r="B2" s="495"/>
      <c r="C2" s="495"/>
      <c r="D2" s="495"/>
      <c r="E2" s="495"/>
      <c r="F2" s="497">
        <v>44091</v>
      </c>
      <c r="G2" s="161">
        <v>250000</v>
      </c>
      <c r="H2" s="495"/>
      <c r="I2" s="495"/>
      <c r="J2" s="495"/>
      <c r="K2" s="160"/>
      <c r="L2" s="160"/>
      <c r="M2" s="495"/>
    </row>
    <row r="3" spans="1:13">
      <c r="A3" s="162" t="s">
        <v>67</v>
      </c>
      <c r="B3" s="659">
        <f>G2+G3+G4</f>
        <v>1000000</v>
      </c>
      <c r="C3" s="495"/>
      <c r="D3" s="495"/>
      <c r="E3" s="495"/>
      <c r="F3" s="497">
        <v>44358</v>
      </c>
      <c r="G3" s="161">
        <v>537334.82294999994</v>
      </c>
      <c r="H3" s="495"/>
      <c r="I3" s="495"/>
      <c r="J3" s="495"/>
      <c r="K3" s="160"/>
      <c r="L3" s="160"/>
      <c r="M3" s="495"/>
    </row>
    <row r="4" spans="1:13">
      <c r="A4" s="162" t="s">
        <v>68</v>
      </c>
      <c r="B4" s="498">
        <v>0.06</v>
      </c>
      <c r="C4" s="495"/>
      <c r="D4" s="495"/>
      <c r="E4" s="495"/>
      <c r="F4" s="497">
        <v>44397</v>
      </c>
      <c r="G4" s="161">
        <v>212665.17705000006</v>
      </c>
      <c r="H4" s="495"/>
      <c r="I4" s="495"/>
      <c r="J4" s="495"/>
      <c r="K4" s="160"/>
      <c r="L4" s="160"/>
      <c r="M4" s="495"/>
    </row>
    <row r="5" spans="1:13">
      <c r="A5" s="499" t="s">
        <v>69</v>
      </c>
      <c r="B5" s="500">
        <v>1</v>
      </c>
      <c r="C5" s="495"/>
      <c r="D5" s="495"/>
      <c r="E5" s="495"/>
      <c r="F5" s="163" t="s">
        <v>43</v>
      </c>
      <c r="G5" s="501">
        <f>SUM(G2:G4)</f>
        <v>1000000</v>
      </c>
      <c r="H5" s="495"/>
      <c r="I5" s="495"/>
      <c r="J5" s="495"/>
      <c r="K5" s="160"/>
      <c r="L5" s="160"/>
      <c r="M5" s="495"/>
    </row>
    <row r="6" spans="1:13">
      <c r="A6" s="502" t="s">
        <v>70</v>
      </c>
      <c r="B6" s="500" t="s">
        <v>71</v>
      </c>
      <c r="C6" s="495"/>
      <c r="D6" s="495"/>
      <c r="E6" s="495"/>
      <c r="F6" s="495"/>
      <c r="G6" s="495"/>
      <c r="H6" s="495"/>
      <c r="I6" s="495"/>
      <c r="J6" s="495"/>
      <c r="K6" s="160"/>
      <c r="L6" s="160"/>
      <c r="M6" s="495"/>
    </row>
    <row r="7" spans="1:13">
      <c r="A7" s="502" t="s">
        <v>72</v>
      </c>
      <c r="B7" s="502">
        <v>360</v>
      </c>
      <c r="C7" s="495"/>
      <c r="D7" s="495"/>
      <c r="E7" s="495"/>
      <c r="F7" s="495"/>
      <c r="G7" s="495"/>
      <c r="H7" s="495"/>
      <c r="I7" s="495"/>
      <c r="J7" s="495"/>
      <c r="K7" s="160"/>
      <c r="L7" s="160"/>
      <c r="M7" s="495"/>
    </row>
    <row r="8" spans="1:13">
      <c r="A8" s="503" t="s">
        <v>44</v>
      </c>
      <c r="B8" s="497">
        <v>44211</v>
      </c>
      <c r="C8" s="495"/>
      <c r="D8" s="495"/>
      <c r="E8" s="495"/>
      <c r="F8" s="495"/>
      <c r="G8" s="495"/>
      <c r="H8" s="495"/>
      <c r="I8" s="495"/>
      <c r="J8" s="495"/>
      <c r="K8" s="160"/>
      <c r="L8" s="160"/>
      <c r="M8" s="495"/>
    </row>
    <row r="9" spans="1:13">
      <c r="A9" s="499" t="s">
        <v>58</v>
      </c>
      <c r="B9" s="502">
        <v>25</v>
      </c>
      <c r="C9" s="495"/>
      <c r="D9" s="495"/>
      <c r="E9" s="495"/>
      <c r="F9" s="495"/>
      <c r="G9" s="495"/>
      <c r="H9" s="495"/>
      <c r="I9" s="495"/>
      <c r="J9" s="495"/>
      <c r="K9" s="160"/>
      <c r="L9" s="160"/>
      <c r="M9" s="495"/>
    </row>
    <row r="10" spans="1:13">
      <c r="A10" s="495"/>
      <c r="B10" s="495"/>
      <c r="C10" s="495"/>
      <c r="D10" s="495"/>
      <c r="E10" s="495"/>
      <c r="F10" s="495"/>
      <c r="G10" s="495"/>
      <c r="H10" s="495"/>
      <c r="I10" s="495"/>
      <c r="J10" s="495"/>
      <c r="K10" s="160"/>
      <c r="L10" s="160"/>
      <c r="M10" s="495"/>
    </row>
    <row r="11" spans="1:13" ht="41.5" customHeight="1">
      <c r="A11" s="164" t="s">
        <v>4</v>
      </c>
      <c r="B11" s="164" t="s">
        <v>6</v>
      </c>
      <c r="C11" s="164" t="s">
        <v>18</v>
      </c>
      <c r="D11" s="164" t="s">
        <v>73</v>
      </c>
      <c r="E11" s="164" t="s">
        <v>74</v>
      </c>
      <c r="F11" s="164" t="s">
        <v>20</v>
      </c>
      <c r="G11" s="164" t="s">
        <v>75</v>
      </c>
      <c r="H11" s="164" t="s">
        <v>76</v>
      </c>
      <c r="I11" s="164" t="s">
        <v>77</v>
      </c>
      <c r="J11" s="164" t="s">
        <v>78</v>
      </c>
      <c r="K11" s="164" t="s">
        <v>79</v>
      </c>
      <c r="L11" s="165" t="s">
        <v>80</v>
      </c>
      <c r="M11" s="495"/>
    </row>
    <row r="12" spans="1:13">
      <c r="A12" s="504">
        <f>F2</f>
        <v>44091</v>
      </c>
      <c r="B12" s="505">
        <f>G2</f>
        <v>250000</v>
      </c>
      <c r="C12" s="505">
        <f>B12</f>
        <v>250000</v>
      </c>
      <c r="D12" s="506"/>
      <c r="E12" s="506"/>
      <c r="F12" s="506"/>
      <c r="G12" s="506"/>
      <c r="H12" s="506"/>
      <c r="I12" s="506"/>
      <c r="J12" s="506"/>
      <c r="K12" s="166"/>
      <c r="L12" s="166"/>
      <c r="M12" s="495"/>
    </row>
    <row r="13" spans="1:13">
      <c r="A13" s="507">
        <v>44119</v>
      </c>
      <c r="B13" s="495"/>
      <c r="C13" s="508">
        <f>C12-G13</f>
        <v>250000</v>
      </c>
      <c r="D13" s="495"/>
      <c r="E13" s="495">
        <f>DAYS360(A12,A13)</f>
        <v>28</v>
      </c>
      <c r="F13" s="495">
        <f>E13/$B$7</f>
        <v>7.7777777777777779E-2</v>
      </c>
      <c r="G13" s="160">
        <v>0</v>
      </c>
      <c r="H13" s="508">
        <f>F13*$B$4*C12</f>
        <v>1166.6666666666665</v>
      </c>
      <c r="I13" s="508">
        <f>H13</f>
        <v>1166.6666666666665</v>
      </c>
      <c r="J13" s="495"/>
      <c r="K13" s="160">
        <f>H13+J13</f>
        <v>1166.6666666666665</v>
      </c>
      <c r="L13" s="509">
        <f t="shared" ref="L13:L23" si="0">K13+G13</f>
        <v>1166.6666666666665</v>
      </c>
      <c r="M13" s="495"/>
    </row>
    <row r="14" spans="1:13">
      <c r="A14" s="507">
        <f>EDATE(A13,$B$5)</f>
        <v>44150</v>
      </c>
      <c r="B14" s="495"/>
      <c r="C14" s="508">
        <f t="shared" ref="C14:C20" si="1">C13-G14</f>
        <v>250000</v>
      </c>
      <c r="D14" s="495"/>
      <c r="E14" s="495">
        <f t="shared" ref="E14:E20" si="2">DAYS360(A13,A14)</f>
        <v>30</v>
      </c>
      <c r="F14" s="495">
        <f t="shared" ref="F14:F20" si="3">E14/$B$7</f>
        <v>8.3333333333333329E-2</v>
      </c>
      <c r="G14" s="160">
        <v>0</v>
      </c>
      <c r="H14" s="508">
        <f t="shared" ref="H14:H20" si="4">F14*$B$4*C13</f>
        <v>1249.9999999999998</v>
      </c>
      <c r="I14" s="508">
        <f>H14</f>
        <v>1249.9999999999998</v>
      </c>
      <c r="J14" s="495"/>
      <c r="K14" s="160">
        <f t="shared" ref="K14:K42" si="5">H14+J14</f>
        <v>1249.9999999999998</v>
      </c>
      <c r="L14" s="509">
        <f t="shared" si="0"/>
        <v>1249.9999999999998</v>
      </c>
      <c r="M14" s="495"/>
    </row>
    <row r="15" spans="1:13">
      <c r="A15" s="507">
        <f>EDATE(A14,$B$5)</f>
        <v>44180</v>
      </c>
      <c r="B15" s="495"/>
      <c r="C15" s="508">
        <f t="shared" si="1"/>
        <v>250000</v>
      </c>
      <c r="D15" s="495"/>
      <c r="E15" s="495">
        <f t="shared" si="2"/>
        <v>30</v>
      </c>
      <c r="F15" s="495">
        <f t="shared" si="3"/>
        <v>8.3333333333333329E-2</v>
      </c>
      <c r="G15" s="160">
        <v>0</v>
      </c>
      <c r="H15" s="508">
        <f t="shared" si="4"/>
        <v>1249.9999999999998</v>
      </c>
      <c r="I15" s="508">
        <f>H15</f>
        <v>1249.9999999999998</v>
      </c>
      <c r="J15" s="495"/>
      <c r="K15" s="160">
        <f t="shared" si="5"/>
        <v>1249.9999999999998</v>
      </c>
      <c r="L15" s="509">
        <f t="shared" si="0"/>
        <v>1249.9999999999998</v>
      </c>
      <c r="M15" s="495"/>
    </row>
    <row r="16" spans="1:13">
      <c r="A16" s="510">
        <f t="shared" ref="A16:A20" si="6">EDATE(A15,1)</f>
        <v>44211</v>
      </c>
      <c r="B16" s="511"/>
      <c r="C16" s="512">
        <f t="shared" si="1"/>
        <v>240587.03575637529</v>
      </c>
      <c r="D16" s="511">
        <v>25</v>
      </c>
      <c r="E16" s="511">
        <f t="shared" si="2"/>
        <v>30</v>
      </c>
      <c r="F16" s="511">
        <f t="shared" si="3"/>
        <v>8.3333333333333329E-2</v>
      </c>
      <c r="G16" s="512">
        <f>I16-H16</f>
        <v>9412.9642436247104</v>
      </c>
      <c r="H16" s="512">
        <f t="shared" si="4"/>
        <v>1249.9999999999998</v>
      </c>
      <c r="I16" s="512">
        <f>((1+$B$4/12)^D16)*($B$4/12)/((1+$B$4/12)^D16-1)*C15</f>
        <v>10662.96424362471</v>
      </c>
      <c r="J16" s="511"/>
      <c r="K16" s="168">
        <f t="shared" si="5"/>
        <v>1249.9999999999998</v>
      </c>
      <c r="L16" s="513">
        <f t="shared" si="0"/>
        <v>10662.96424362471</v>
      </c>
      <c r="M16" s="495"/>
    </row>
    <row r="17" spans="1:13">
      <c r="A17" s="507">
        <f t="shared" si="6"/>
        <v>44242</v>
      </c>
      <c r="B17" s="495"/>
      <c r="C17" s="508">
        <f t="shared" si="1"/>
        <v>231127.00669153247</v>
      </c>
      <c r="D17" s="495">
        <f>D16-1</f>
        <v>24</v>
      </c>
      <c r="E17" s="495">
        <f t="shared" si="2"/>
        <v>30</v>
      </c>
      <c r="F17" s="495">
        <f t="shared" si="3"/>
        <v>8.3333333333333329E-2</v>
      </c>
      <c r="G17" s="508">
        <f>I17-H17</f>
        <v>9460.0290648428199</v>
      </c>
      <c r="H17" s="508">
        <f t="shared" si="4"/>
        <v>1202.9351787818762</v>
      </c>
      <c r="I17" s="508">
        <f>((1+$B$4/12)^D17)*($B$4/12)/((1+$B$4/12)^D17-1)*C16</f>
        <v>10662.964243624696</v>
      </c>
      <c r="J17" s="495"/>
      <c r="K17" s="160">
        <f t="shared" si="5"/>
        <v>1202.9351787818762</v>
      </c>
      <c r="L17" s="509">
        <f t="shared" si="0"/>
        <v>10662.964243624696</v>
      </c>
      <c r="M17" s="495"/>
    </row>
    <row r="18" spans="1:13">
      <c r="A18" s="507">
        <f t="shared" si="6"/>
        <v>44270</v>
      </c>
      <c r="B18" s="495"/>
      <c r="C18" s="508">
        <f t="shared" si="1"/>
        <v>221619.67748136542</v>
      </c>
      <c r="D18" s="495">
        <f t="shared" ref="D18:D20" si="7">D17-1</f>
        <v>23</v>
      </c>
      <c r="E18" s="495">
        <f t="shared" si="2"/>
        <v>30</v>
      </c>
      <c r="F18" s="495">
        <f t="shared" si="3"/>
        <v>8.3333333333333329E-2</v>
      </c>
      <c r="G18" s="508">
        <f>I18-H18</f>
        <v>9507.3292101670413</v>
      </c>
      <c r="H18" s="508">
        <f t="shared" si="4"/>
        <v>1155.6350334576621</v>
      </c>
      <c r="I18" s="508">
        <f>((1+$B$4/12)^D18)*($B$4/12)/((1+$B$4/12)^D18-1)*C17</f>
        <v>10662.964243624703</v>
      </c>
      <c r="J18" s="495"/>
      <c r="K18" s="160">
        <f t="shared" si="5"/>
        <v>1155.6350334576621</v>
      </c>
      <c r="L18" s="509">
        <f t="shared" si="0"/>
        <v>10662.964243624703</v>
      </c>
      <c r="M18" s="495"/>
    </row>
    <row r="19" spans="1:13">
      <c r="A19" s="507">
        <f t="shared" si="6"/>
        <v>44301</v>
      </c>
      <c r="B19" s="495"/>
      <c r="C19" s="508">
        <f t="shared" si="1"/>
        <v>212064.81162514756</v>
      </c>
      <c r="D19" s="495">
        <f t="shared" si="7"/>
        <v>22</v>
      </c>
      <c r="E19" s="495">
        <f t="shared" si="2"/>
        <v>30</v>
      </c>
      <c r="F19" s="495">
        <f t="shared" si="3"/>
        <v>8.3333333333333329E-2</v>
      </c>
      <c r="G19" s="508">
        <f>I19-H19</f>
        <v>9554.8658562178571</v>
      </c>
      <c r="H19" s="508">
        <f t="shared" si="4"/>
        <v>1108.098387406827</v>
      </c>
      <c r="I19" s="508">
        <f>((1+$B$4/12)^D19)*($B$4/12)/((1+$B$4/12)^D19-1)*C18</f>
        <v>10662.964243624683</v>
      </c>
      <c r="J19" s="495"/>
      <c r="K19" s="160">
        <f t="shared" si="5"/>
        <v>1108.098387406827</v>
      </c>
      <c r="L19" s="509">
        <f t="shared" si="0"/>
        <v>10662.964243624683</v>
      </c>
      <c r="M19" s="495"/>
    </row>
    <row r="20" spans="1:13">
      <c r="A20" s="507">
        <f t="shared" si="6"/>
        <v>44331</v>
      </c>
      <c r="B20" s="495"/>
      <c r="C20" s="508">
        <f t="shared" si="1"/>
        <v>202462.17143964863</v>
      </c>
      <c r="D20" s="495">
        <f t="shared" si="7"/>
        <v>21</v>
      </c>
      <c r="E20" s="495">
        <f t="shared" si="2"/>
        <v>30</v>
      </c>
      <c r="F20" s="495">
        <f t="shared" si="3"/>
        <v>8.3333333333333329E-2</v>
      </c>
      <c r="G20" s="508">
        <f>I20-H20</f>
        <v>9602.640185498929</v>
      </c>
      <c r="H20" s="508">
        <f t="shared" si="4"/>
        <v>1060.3240581257376</v>
      </c>
      <c r="I20" s="508">
        <f>((1+$B$4/12)^D20)*($B$4/12)/((1+$B$4/12)^D20-1)*C19</f>
        <v>10662.964243624667</v>
      </c>
      <c r="J20" s="495"/>
      <c r="K20" s="160">
        <f t="shared" si="5"/>
        <v>1060.3240581257376</v>
      </c>
      <c r="L20" s="509">
        <f t="shared" si="0"/>
        <v>10662.964243624667</v>
      </c>
      <c r="M20" s="495"/>
    </row>
    <row r="21" spans="1:13">
      <c r="A21" s="504">
        <f>F3</f>
        <v>44358</v>
      </c>
      <c r="B21" s="505">
        <f>G3</f>
        <v>537334.82294999994</v>
      </c>
      <c r="C21" s="514">
        <f>C20+B21</f>
        <v>739796.99438964855</v>
      </c>
      <c r="D21" s="506"/>
      <c r="E21" s="506"/>
      <c r="F21" s="506"/>
      <c r="G21" s="506"/>
      <c r="H21" s="506"/>
      <c r="I21" s="506"/>
      <c r="J21" s="506"/>
      <c r="K21" s="166"/>
      <c r="L21" s="166">
        <f t="shared" si="0"/>
        <v>0</v>
      </c>
      <c r="M21" s="495"/>
    </row>
    <row r="22" spans="1:13">
      <c r="A22" s="507">
        <f>EDATE(A20,1)</f>
        <v>44362</v>
      </c>
      <c r="B22" s="495"/>
      <c r="C22" s="508">
        <f t="shared" ref="C22:C23" si="8">C21-G22</f>
        <v>704533.49643144978</v>
      </c>
      <c r="D22" s="495">
        <f>D20-1</f>
        <v>20</v>
      </c>
      <c r="E22" s="495">
        <f>DAYS360(A20,A22)</f>
        <v>30</v>
      </c>
      <c r="F22" s="495">
        <f t="shared" ref="F22:F23" si="9">E22/$B$7</f>
        <v>8.3333333333333329E-2</v>
      </c>
      <c r="G22" s="508">
        <f>I22-H22</f>
        <v>35263.497958198743</v>
      </c>
      <c r="H22" s="508">
        <f t="shared" ref="H22:H42" si="10">F22*$B$4*C21</f>
        <v>3698.9849719482422</v>
      </c>
      <c r="I22" s="508">
        <f>((1+$B$4/12)^D22)*($B$4/12)/((1+$B$4/12)^D22-1)*C21</f>
        <v>38962.482930146987</v>
      </c>
      <c r="J22" s="515">
        <f>DAYS360(A21,A20)/$B$7*$B$4*B21</f>
        <v>-2328.4508994499997</v>
      </c>
      <c r="K22" s="160">
        <f t="shared" si="5"/>
        <v>1370.5340724982425</v>
      </c>
      <c r="L22" s="509">
        <f t="shared" si="0"/>
        <v>36634.032030696988</v>
      </c>
      <c r="M22" s="495"/>
    </row>
    <row r="23" spans="1:13">
      <c r="A23" s="507">
        <f t="shared" ref="A23" si="11">EDATE(A22,1)</f>
        <v>44392</v>
      </c>
      <c r="B23" s="495"/>
      <c r="C23" s="508">
        <f t="shared" si="8"/>
        <v>669093.68098346004</v>
      </c>
      <c r="D23" s="495">
        <f t="shared" ref="D23" si="12">D22-1</f>
        <v>19</v>
      </c>
      <c r="E23" s="495">
        <f t="shared" ref="E23" si="13">DAYS360(A22,A23)</f>
        <v>30</v>
      </c>
      <c r="F23" s="495">
        <f t="shared" si="9"/>
        <v>8.3333333333333329E-2</v>
      </c>
      <c r="G23" s="508">
        <f>I23-H23</f>
        <v>35439.815447989691</v>
      </c>
      <c r="H23" s="508">
        <f t="shared" si="10"/>
        <v>3522.6674821572483</v>
      </c>
      <c r="I23" s="508">
        <f>((1+$B$4/12)^D23)*($B$4/12)/((1+$B$4/12)^D23-1)*C22</f>
        <v>38962.482930146936</v>
      </c>
      <c r="J23" s="495"/>
      <c r="K23" s="160">
        <f t="shared" si="5"/>
        <v>3522.6674821572483</v>
      </c>
      <c r="L23" s="509">
        <f t="shared" si="0"/>
        <v>38962.482930146936</v>
      </c>
      <c r="M23" s="495"/>
    </row>
    <row r="24" spans="1:13">
      <c r="A24" s="504">
        <f>F4</f>
        <v>44397</v>
      </c>
      <c r="B24" s="505">
        <f>G4</f>
        <v>212665.17705000006</v>
      </c>
      <c r="C24" s="514">
        <f>C23+B24</f>
        <v>881758.8580334601</v>
      </c>
      <c r="D24" s="506"/>
      <c r="E24" s="506"/>
      <c r="F24" s="506"/>
      <c r="G24" s="506"/>
      <c r="H24" s="506"/>
      <c r="I24" s="506"/>
      <c r="J24" s="506"/>
      <c r="K24" s="166"/>
      <c r="L24" s="166"/>
      <c r="M24" s="495"/>
    </row>
    <row r="25" spans="1:13">
      <c r="A25" s="507">
        <f>EDATE(A23,1)</f>
        <v>44423</v>
      </c>
      <c r="B25" s="495"/>
      <c r="C25" s="508">
        <f t="shared" ref="C25:C42" si="14">C24-G25</f>
        <v>834821.30811045622</v>
      </c>
      <c r="D25" s="495">
        <f>D23-1</f>
        <v>18</v>
      </c>
      <c r="E25" s="495">
        <f>DAYS360(A23,A25)</f>
        <v>30</v>
      </c>
      <c r="F25" s="495">
        <f t="shared" ref="F25:F42" si="15">E25/$B$7</f>
        <v>8.3333333333333329E-2</v>
      </c>
      <c r="G25" s="508">
        <f t="shared" ref="G25:G41" si="16">I25-H25</f>
        <v>46937.54992300392</v>
      </c>
      <c r="H25" s="508">
        <f t="shared" si="10"/>
        <v>4408.7942901672996</v>
      </c>
      <c r="I25" s="508">
        <f t="shared" ref="I25:I42" si="17">((1+$B$4/12)^D25)*($B$4/12)/((1+$B$4/12)^D25-1)*C24</f>
        <v>51346.344213171222</v>
      </c>
      <c r="J25" s="515">
        <f>DAYS360(A24,A23)/$B$7*$B$4*B24</f>
        <v>-177.22098087500004</v>
      </c>
      <c r="K25" s="160">
        <f t="shared" si="5"/>
        <v>4231.5733092922992</v>
      </c>
      <c r="L25" s="509">
        <f>K25+G25</f>
        <v>51169.123232296217</v>
      </c>
      <c r="M25" s="495"/>
    </row>
    <row r="26" spans="1:13">
      <c r="A26" s="507">
        <f t="shared" ref="A26:A42" si="18">EDATE(A25,1)</f>
        <v>44454</v>
      </c>
      <c r="B26" s="495"/>
      <c r="C26" s="508">
        <f t="shared" si="14"/>
        <v>787649.07043783751</v>
      </c>
      <c r="D26" s="495">
        <f t="shared" ref="D26:D42" si="19">D25-1</f>
        <v>17</v>
      </c>
      <c r="E26" s="495">
        <f t="shared" ref="E26:E42" si="20">DAYS360(A25,A26)</f>
        <v>30</v>
      </c>
      <c r="F26" s="495">
        <f t="shared" si="15"/>
        <v>8.3333333333333329E-2</v>
      </c>
      <c r="G26" s="508">
        <f t="shared" si="16"/>
        <v>47172.237672618743</v>
      </c>
      <c r="H26" s="508">
        <f t="shared" si="10"/>
        <v>4174.1065405522804</v>
      </c>
      <c r="I26" s="508">
        <f t="shared" si="17"/>
        <v>51346.344213171025</v>
      </c>
      <c r="J26" s="495"/>
      <c r="K26" s="160">
        <f t="shared" si="5"/>
        <v>4174.1065405522804</v>
      </c>
      <c r="L26" s="509">
        <f>K26+G26</f>
        <v>51346.344213171025</v>
      </c>
      <c r="M26" s="495"/>
    </row>
    <row r="27" spans="1:13">
      <c r="A27" s="507">
        <f t="shared" si="18"/>
        <v>44484</v>
      </c>
      <c r="B27" s="495"/>
      <c r="C27" s="508">
        <f t="shared" si="14"/>
        <v>740240.97157685563</v>
      </c>
      <c r="D27" s="495">
        <f t="shared" si="19"/>
        <v>16</v>
      </c>
      <c r="E27" s="495">
        <f t="shared" si="20"/>
        <v>30</v>
      </c>
      <c r="F27" s="495">
        <f t="shared" si="15"/>
        <v>8.3333333333333329E-2</v>
      </c>
      <c r="G27" s="508">
        <f t="shared" si="16"/>
        <v>47408.098860981823</v>
      </c>
      <c r="H27" s="508">
        <f t="shared" si="10"/>
        <v>3938.2453521891871</v>
      </c>
      <c r="I27" s="508">
        <f t="shared" si="17"/>
        <v>51346.344213171011</v>
      </c>
      <c r="J27" s="495"/>
      <c r="K27" s="160">
        <f t="shared" si="5"/>
        <v>3938.2453521891871</v>
      </c>
      <c r="L27" s="509">
        <f t="shared" ref="L27:L42" si="21">K27+G27</f>
        <v>51346.344213171011</v>
      </c>
      <c r="M27" s="495"/>
    </row>
    <row r="28" spans="1:13">
      <c r="A28" s="507">
        <f t="shared" si="18"/>
        <v>44515</v>
      </c>
      <c r="B28" s="495"/>
      <c r="C28" s="508">
        <f t="shared" si="14"/>
        <v>692595.83222156903</v>
      </c>
      <c r="D28" s="495">
        <f t="shared" si="19"/>
        <v>15</v>
      </c>
      <c r="E28" s="495">
        <f t="shared" si="20"/>
        <v>30</v>
      </c>
      <c r="F28" s="495">
        <f t="shared" si="15"/>
        <v>8.3333333333333329E-2</v>
      </c>
      <c r="G28" s="508">
        <f t="shared" si="16"/>
        <v>47645.139355286658</v>
      </c>
      <c r="H28" s="508">
        <f t="shared" si="10"/>
        <v>3701.2048578842778</v>
      </c>
      <c r="I28" s="508">
        <f t="shared" si="17"/>
        <v>51346.344213170938</v>
      </c>
      <c r="J28" s="495"/>
      <c r="K28" s="160">
        <f t="shared" si="5"/>
        <v>3701.2048578842778</v>
      </c>
      <c r="L28" s="509">
        <f t="shared" si="21"/>
        <v>51346.344213170938</v>
      </c>
      <c r="M28" s="495"/>
    </row>
    <row r="29" spans="1:13">
      <c r="A29" s="507">
        <f t="shared" si="18"/>
        <v>44545</v>
      </c>
      <c r="B29" s="495"/>
      <c r="C29" s="508">
        <f t="shared" si="14"/>
        <v>644712.46716950613</v>
      </c>
      <c r="D29" s="495">
        <f t="shared" si="19"/>
        <v>14</v>
      </c>
      <c r="E29" s="495">
        <f t="shared" si="20"/>
        <v>30</v>
      </c>
      <c r="F29" s="495">
        <f t="shared" si="15"/>
        <v>8.3333333333333329E-2</v>
      </c>
      <c r="G29" s="508">
        <f t="shared" si="16"/>
        <v>47883.365052062938</v>
      </c>
      <c r="H29" s="508">
        <f t="shared" si="10"/>
        <v>3462.9791611078444</v>
      </c>
      <c r="I29" s="508">
        <f t="shared" si="17"/>
        <v>51346.344213170785</v>
      </c>
      <c r="J29" s="495"/>
      <c r="K29" s="160">
        <f t="shared" si="5"/>
        <v>3462.9791611078444</v>
      </c>
      <c r="L29" s="509">
        <f t="shared" si="21"/>
        <v>51346.344213170785</v>
      </c>
      <c r="M29" s="495"/>
    </row>
    <row r="30" spans="1:13">
      <c r="A30" s="507">
        <f t="shared" si="18"/>
        <v>44576</v>
      </c>
      <c r="B30" s="495"/>
      <c r="C30" s="508">
        <f t="shared" si="14"/>
        <v>596589.68529218296</v>
      </c>
      <c r="D30" s="495">
        <f t="shared" si="19"/>
        <v>13</v>
      </c>
      <c r="E30" s="495">
        <f t="shared" si="20"/>
        <v>30</v>
      </c>
      <c r="F30" s="495">
        <f t="shared" si="15"/>
        <v>8.3333333333333329E-2</v>
      </c>
      <c r="G30" s="508">
        <f t="shared" si="16"/>
        <v>48122.781877323119</v>
      </c>
      <c r="H30" s="508">
        <f t="shared" si="10"/>
        <v>3223.56233584753</v>
      </c>
      <c r="I30" s="508">
        <f t="shared" si="17"/>
        <v>51346.344213170647</v>
      </c>
      <c r="J30" s="495"/>
      <c r="K30" s="160">
        <f t="shared" si="5"/>
        <v>3223.56233584753</v>
      </c>
      <c r="L30" s="509">
        <f t="shared" si="21"/>
        <v>51346.344213170647</v>
      </c>
      <c r="M30" s="495"/>
    </row>
    <row r="31" spans="1:13">
      <c r="A31" s="507">
        <f t="shared" si="18"/>
        <v>44607</v>
      </c>
      <c r="B31" s="495"/>
      <c r="C31" s="508">
        <f t="shared" si="14"/>
        <v>548226.28950547334</v>
      </c>
      <c r="D31" s="495">
        <f t="shared" si="19"/>
        <v>12</v>
      </c>
      <c r="E31" s="495">
        <f t="shared" si="20"/>
        <v>30</v>
      </c>
      <c r="F31" s="495">
        <f t="shared" si="15"/>
        <v>8.3333333333333329E-2</v>
      </c>
      <c r="G31" s="508">
        <f t="shared" si="16"/>
        <v>48363.395786709661</v>
      </c>
      <c r="H31" s="508">
        <f t="shared" si="10"/>
        <v>2982.9484264609141</v>
      </c>
      <c r="I31" s="508">
        <f t="shared" si="17"/>
        <v>51346.344213170574</v>
      </c>
      <c r="J31" s="495"/>
      <c r="K31" s="160">
        <f t="shared" si="5"/>
        <v>2982.9484264609141</v>
      </c>
      <c r="L31" s="509">
        <f t="shared" si="21"/>
        <v>51346.344213170574</v>
      </c>
      <c r="M31" s="495"/>
    </row>
    <row r="32" spans="1:13">
      <c r="A32" s="507">
        <f t="shared" si="18"/>
        <v>44635</v>
      </c>
      <c r="B32" s="495"/>
      <c r="C32" s="508">
        <f t="shared" si="14"/>
        <v>499621.07673983043</v>
      </c>
      <c r="D32" s="495">
        <f t="shared" si="19"/>
        <v>11</v>
      </c>
      <c r="E32" s="495">
        <f t="shared" si="20"/>
        <v>30</v>
      </c>
      <c r="F32" s="495">
        <f t="shared" si="15"/>
        <v>8.3333333333333329E-2</v>
      </c>
      <c r="G32" s="508">
        <f t="shared" si="16"/>
        <v>48605.212765642886</v>
      </c>
      <c r="H32" s="508">
        <f t="shared" si="10"/>
        <v>2741.1314475273662</v>
      </c>
      <c r="I32" s="508">
        <f t="shared" si="17"/>
        <v>51346.344213170254</v>
      </c>
      <c r="J32" s="495"/>
      <c r="K32" s="160">
        <f t="shared" si="5"/>
        <v>2741.1314475273662</v>
      </c>
      <c r="L32" s="509">
        <f t="shared" si="21"/>
        <v>51346.344213170254</v>
      </c>
      <c r="M32" s="495"/>
    </row>
    <row r="33" spans="1:13">
      <c r="A33" s="507">
        <f t="shared" si="18"/>
        <v>44666</v>
      </c>
      <c r="B33" s="495"/>
      <c r="C33" s="508">
        <f t="shared" si="14"/>
        <v>450772.83791035938</v>
      </c>
      <c r="D33" s="495">
        <f t="shared" si="19"/>
        <v>10</v>
      </c>
      <c r="E33" s="495">
        <f t="shared" si="20"/>
        <v>30</v>
      </c>
      <c r="F33" s="495">
        <f t="shared" si="15"/>
        <v>8.3333333333333329E-2</v>
      </c>
      <c r="G33" s="508">
        <f t="shared" si="16"/>
        <v>48848.238829471033</v>
      </c>
      <c r="H33" s="508">
        <f t="shared" si="10"/>
        <v>2498.1053836991518</v>
      </c>
      <c r="I33" s="508">
        <f t="shared" si="17"/>
        <v>51346.344213170181</v>
      </c>
      <c r="J33" s="495"/>
      <c r="K33" s="160">
        <f t="shared" si="5"/>
        <v>2498.1053836991518</v>
      </c>
      <c r="L33" s="509">
        <f t="shared" si="21"/>
        <v>51346.344213170181</v>
      </c>
      <c r="M33" s="495"/>
    </row>
    <row r="34" spans="1:13">
      <c r="A34" s="507">
        <f t="shared" si="18"/>
        <v>44696</v>
      </c>
      <c r="B34" s="495"/>
      <c r="C34" s="508">
        <f t="shared" si="14"/>
        <v>401680.35788674117</v>
      </c>
      <c r="D34" s="495">
        <f t="shared" si="19"/>
        <v>9</v>
      </c>
      <c r="E34" s="495">
        <f t="shared" si="20"/>
        <v>30</v>
      </c>
      <c r="F34" s="495">
        <f t="shared" si="15"/>
        <v>8.3333333333333329E-2</v>
      </c>
      <c r="G34" s="508">
        <f t="shared" si="16"/>
        <v>49092.480023618184</v>
      </c>
      <c r="H34" s="508">
        <f t="shared" si="10"/>
        <v>2253.8641895517967</v>
      </c>
      <c r="I34" s="508">
        <f t="shared" si="17"/>
        <v>51346.344213169978</v>
      </c>
      <c r="J34" s="495"/>
      <c r="K34" s="160">
        <f t="shared" si="5"/>
        <v>2253.8641895517967</v>
      </c>
      <c r="L34" s="509">
        <f t="shared" si="21"/>
        <v>51346.344213169978</v>
      </c>
      <c r="M34" s="495"/>
    </row>
    <row r="35" spans="1:13">
      <c r="A35" s="507">
        <f t="shared" si="18"/>
        <v>44727</v>
      </c>
      <c r="B35" s="495"/>
      <c r="C35" s="508">
        <f t="shared" si="14"/>
        <v>352342.41546300496</v>
      </c>
      <c r="D35" s="495">
        <f t="shared" si="19"/>
        <v>8</v>
      </c>
      <c r="E35" s="495">
        <f t="shared" si="20"/>
        <v>30</v>
      </c>
      <c r="F35" s="495">
        <f t="shared" si="15"/>
        <v>8.3333333333333329E-2</v>
      </c>
      <c r="G35" s="508">
        <f t="shared" si="16"/>
        <v>49337.942423736196</v>
      </c>
      <c r="H35" s="508">
        <f t="shared" si="10"/>
        <v>2008.4017894337055</v>
      </c>
      <c r="I35" s="508">
        <f t="shared" si="17"/>
        <v>51346.344213169905</v>
      </c>
      <c r="J35" s="495"/>
      <c r="K35" s="160">
        <f t="shared" si="5"/>
        <v>2008.4017894337055</v>
      </c>
      <c r="L35" s="509">
        <f t="shared" si="21"/>
        <v>51346.344213169905</v>
      </c>
      <c r="M35" s="495"/>
    </row>
    <row r="36" spans="1:13">
      <c r="A36" s="507">
        <f t="shared" si="18"/>
        <v>44757</v>
      </c>
      <c r="B36" s="495"/>
      <c r="C36" s="508">
        <f t="shared" si="14"/>
        <v>302757.78332715022</v>
      </c>
      <c r="D36" s="495">
        <f t="shared" si="19"/>
        <v>7</v>
      </c>
      <c r="E36" s="495">
        <f t="shared" si="20"/>
        <v>30</v>
      </c>
      <c r="F36" s="495">
        <f t="shared" si="15"/>
        <v>8.3333333333333329E-2</v>
      </c>
      <c r="G36" s="508">
        <f t="shared" si="16"/>
        <v>49584.632135854765</v>
      </c>
      <c r="H36" s="508">
        <f t="shared" si="10"/>
        <v>1761.7120773150245</v>
      </c>
      <c r="I36" s="508">
        <f t="shared" si="17"/>
        <v>51346.344213169788</v>
      </c>
      <c r="J36" s="495"/>
      <c r="K36" s="160">
        <f t="shared" si="5"/>
        <v>1761.7120773150245</v>
      </c>
      <c r="L36" s="509">
        <f t="shared" si="21"/>
        <v>51346.344213169788</v>
      </c>
      <c r="M36" s="495"/>
    </row>
    <row r="37" spans="1:13">
      <c r="A37" s="507">
        <f t="shared" si="18"/>
        <v>44788</v>
      </c>
      <c r="B37" s="495"/>
      <c r="C37" s="508">
        <f t="shared" si="14"/>
        <v>252925.22803061636</v>
      </c>
      <c r="D37" s="495">
        <f t="shared" si="19"/>
        <v>6</v>
      </c>
      <c r="E37" s="495">
        <f t="shared" si="20"/>
        <v>30</v>
      </c>
      <c r="F37" s="495">
        <f t="shared" si="15"/>
        <v>8.3333333333333329E-2</v>
      </c>
      <c r="G37" s="508">
        <f t="shared" si="16"/>
        <v>49832.555296533857</v>
      </c>
      <c r="H37" s="508">
        <f t="shared" si="10"/>
        <v>1513.7889166357509</v>
      </c>
      <c r="I37" s="508">
        <f t="shared" si="17"/>
        <v>51346.344213169607</v>
      </c>
      <c r="J37" s="495"/>
      <c r="K37" s="160">
        <f t="shared" si="5"/>
        <v>1513.7889166357509</v>
      </c>
      <c r="L37" s="509">
        <f t="shared" si="21"/>
        <v>51346.344213169607</v>
      </c>
      <c r="M37" s="495"/>
    </row>
    <row r="38" spans="1:13">
      <c r="A38" s="507">
        <f t="shared" si="18"/>
        <v>44819</v>
      </c>
      <c r="B38" s="495"/>
      <c r="C38" s="508">
        <f t="shared" si="14"/>
        <v>202843.50995760018</v>
      </c>
      <c r="D38" s="495">
        <f t="shared" si="19"/>
        <v>5</v>
      </c>
      <c r="E38" s="495">
        <f t="shared" si="20"/>
        <v>30</v>
      </c>
      <c r="F38" s="495">
        <f t="shared" si="15"/>
        <v>8.3333333333333329E-2</v>
      </c>
      <c r="G38" s="508">
        <f t="shared" si="16"/>
        <v>50081.718073016185</v>
      </c>
      <c r="H38" s="508">
        <f t="shared" si="10"/>
        <v>1264.6261401530817</v>
      </c>
      <c r="I38" s="508">
        <f t="shared" si="17"/>
        <v>51346.344213169265</v>
      </c>
      <c r="J38" s="495"/>
      <c r="K38" s="160">
        <f t="shared" si="5"/>
        <v>1264.6261401530817</v>
      </c>
      <c r="L38" s="509">
        <f t="shared" si="21"/>
        <v>51346.344213169265</v>
      </c>
      <c r="M38" s="495"/>
    </row>
    <row r="39" spans="1:13">
      <c r="A39" s="507">
        <f t="shared" si="18"/>
        <v>44849</v>
      </c>
      <c r="B39" s="495"/>
      <c r="C39" s="508">
        <f t="shared" si="14"/>
        <v>152511.38329421938</v>
      </c>
      <c r="D39" s="495">
        <f t="shared" si="19"/>
        <v>4</v>
      </c>
      <c r="E39" s="495">
        <f t="shared" si="20"/>
        <v>30</v>
      </c>
      <c r="F39" s="495">
        <f t="shared" si="15"/>
        <v>8.3333333333333329E-2</v>
      </c>
      <c r="G39" s="508">
        <f t="shared" si="16"/>
        <v>50332.126663380797</v>
      </c>
      <c r="H39" s="508">
        <f t="shared" si="10"/>
        <v>1014.2175497880007</v>
      </c>
      <c r="I39" s="508">
        <f t="shared" si="17"/>
        <v>51346.344213168799</v>
      </c>
      <c r="J39" s="495"/>
      <c r="K39" s="160">
        <f t="shared" si="5"/>
        <v>1014.2175497880007</v>
      </c>
      <c r="L39" s="509">
        <f t="shared" si="21"/>
        <v>51346.344213168799</v>
      </c>
      <c r="M39" s="495"/>
    </row>
    <row r="40" spans="1:13">
      <c r="A40" s="507">
        <f t="shared" si="18"/>
        <v>44880</v>
      </c>
      <c r="B40" s="495"/>
      <c r="C40" s="508">
        <f t="shared" si="14"/>
        <v>101927.59599752264</v>
      </c>
      <c r="D40" s="495">
        <f t="shared" si="19"/>
        <v>3</v>
      </c>
      <c r="E40" s="495">
        <f t="shared" si="20"/>
        <v>30</v>
      </c>
      <c r="F40" s="495">
        <f t="shared" si="15"/>
        <v>8.3333333333333329E-2</v>
      </c>
      <c r="G40" s="508">
        <f t="shared" si="16"/>
        <v>50583.787296696733</v>
      </c>
      <c r="H40" s="508">
        <f t="shared" si="10"/>
        <v>762.55691647109677</v>
      </c>
      <c r="I40" s="508">
        <f t="shared" si="17"/>
        <v>51346.344213167831</v>
      </c>
      <c r="J40" s="495"/>
      <c r="K40" s="160">
        <f t="shared" si="5"/>
        <v>762.55691647109677</v>
      </c>
      <c r="L40" s="509">
        <f t="shared" si="21"/>
        <v>51346.344213167831</v>
      </c>
      <c r="M40" s="495"/>
    </row>
    <row r="41" spans="1:13">
      <c r="A41" s="507">
        <f t="shared" si="18"/>
        <v>44910</v>
      </c>
      <c r="B41" s="495"/>
      <c r="C41" s="508">
        <f t="shared" si="14"/>
        <v>51090.889764342886</v>
      </c>
      <c r="D41" s="495">
        <f t="shared" si="19"/>
        <v>2</v>
      </c>
      <c r="E41" s="495">
        <f t="shared" si="20"/>
        <v>30</v>
      </c>
      <c r="F41" s="495">
        <f t="shared" si="15"/>
        <v>8.3333333333333329E-2</v>
      </c>
      <c r="G41" s="508">
        <f t="shared" si="16"/>
        <v>50836.706233179757</v>
      </c>
      <c r="H41" s="508">
        <f t="shared" si="10"/>
        <v>509.63797998761316</v>
      </c>
      <c r="I41" s="508">
        <f t="shared" si="17"/>
        <v>51346.344213167373</v>
      </c>
      <c r="J41" s="495"/>
      <c r="K41" s="160">
        <f t="shared" si="5"/>
        <v>509.63797998761316</v>
      </c>
      <c r="L41" s="509">
        <f t="shared" si="21"/>
        <v>51346.344213167373</v>
      </c>
      <c r="M41" s="495"/>
    </row>
    <row r="42" spans="1:13">
      <c r="A42" s="516">
        <f t="shared" si="18"/>
        <v>44941</v>
      </c>
      <c r="B42" s="517"/>
      <c r="C42" s="453">
        <f t="shared" si="14"/>
        <v>0</v>
      </c>
      <c r="D42" s="517">
        <f t="shared" si="19"/>
        <v>1</v>
      </c>
      <c r="E42" s="517">
        <f t="shared" si="20"/>
        <v>30</v>
      </c>
      <c r="F42" s="517">
        <f t="shared" si="15"/>
        <v>8.3333333333333329E-2</v>
      </c>
      <c r="G42" s="518">
        <f>C41</f>
        <v>51090.889764342886</v>
      </c>
      <c r="H42" s="518">
        <f t="shared" si="10"/>
        <v>255.45444882171438</v>
      </c>
      <c r="I42" s="518">
        <f t="shared" si="17"/>
        <v>51346.344213165699</v>
      </c>
      <c r="J42" s="517"/>
      <c r="K42" s="453">
        <f t="shared" si="5"/>
        <v>255.45444882171438</v>
      </c>
      <c r="L42" s="519">
        <f t="shared" si="21"/>
        <v>51346.344213164601</v>
      </c>
      <c r="M42" s="495"/>
    </row>
    <row r="43" spans="1:13" s="495" customFormat="1" ht="4.5" customHeight="1">
      <c r="K43" s="160"/>
      <c r="L43" s="160"/>
    </row>
    <row r="44" spans="1:13">
      <c r="A44" s="495"/>
      <c r="B44" s="495"/>
      <c r="C44" s="495"/>
      <c r="D44" s="495"/>
      <c r="E44" s="495"/>
      <c r="F44" s="495"/>
      <c r="G44" s="495"/>
      <c r="H44" s="495"/>
      <c r="I44" s="495"/>
      <c r="J44" s="495"/>
      <c r="K44" s="160"/>
      <c r="L44" s="160"/>
      <c r="M44" s="495"/>
    </row>
    <row r="45" spans="1:13">
      <c r="M45" s="495"/>
    </row>
  </sheetData>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22D2A-FDF6-4B75-B512-86F300087AD1}">
  <sheetPr>
    <tabColor rgb="FF7030A0"/>
  </sheetPr>
  <dimension ref="A1:N46"/>
  <sheetViews>
    <sheetView zoomScale="80" zoomScaleNormal="80" workbookViewId="0"/>
  </sheetViews>
  <sheetFormatPr defaultRowHeight="14.5"/>
  <cols>
    <col min="1" max="1" width="35.7265625" bestFit="1" customWidth="1"/>
    <col min="2" max="2" width="14.26953125" customWidth="1"/>
    <col min="3" max="3" width="12.81640625" customWidth="1"/>
    <col min="4" max="4" width="14.54296875" bestFit="1" customWidth="1"/>
    <col min="5" max="5" width="15.1796875" customWidth="1"/>
    <col min="6" max="6" width="11.26953125" bestFit="1" customWidth="1"/>
    <col min="7" max="7" width="15.54296875" bestFit="1" customWidth="1"/>
    <col min="8" max="8" width="14" customWidth="1"/>
    <col min="9" max="9" width="18" bestFit="1" customWidth="1"/>
    <col min="10" max="10" width="19.54296875" bestFit="1" customWidth="1"/>
    <col min="11" max="11" width="13.453125" customWidth="1"/>
    <col min="12" max="12" width="2.1796875" customWidth="1"/>
    <col min="14" max="14" width="9.6328125" bestFit="1" customWidth="1"/>
  </cols>
  <sheetData>
    <row r="1" spans="1:13">
      <c r="A1" s="524" t="s">
        <v>215</v>
      </c>
      <c r="B1" s="254"/>
      <c r="C1" s="254"/>
      <c r="D1" s="6"/>
      <c r="E1" s="6"/>
      <c r="F1" s="6"/>
      <c r="G1" s="6"/>
      <c r="H1" s="6"/>
      <c r="I1" s="6"/>
      <c r="J1" s="6"/>
      <c r="K1" s="6"/>
      <c r="L1" s="6"/>
      <c r="M1" s="6"/>
    </row>
    <row r="2" spans="1:13">
      <c r="A2" s="524"/>
      <c r="B2" s="254"/>
      <c r="C2" s="254"/>
      <c r="D2" s="6"/>
      <c r="E2" s="6"/>
      <c r="F2" s="6"/>
      <c r="G2" s="6"/>
      <c r="H2" s="6"/>
      <c r="I2" s="6"/>
      <c r="J2" s="6"/>
      <c r="K2" s="6"/>
      <c r="L2" s="6"/>
      <c r="M2" s="6"/>
    </row>
    <row r="3" spans="1:13">
      <c r="A3" s="205" t="s">
        <v>81</v>
      </c>
      <c r="B3" s="169">
        <v>1000000</v>
      </c>
      <c r="C3" s="255"/>
      <c r="D3" s="6"/>
      <c r="E3" s="6"/>
      <c r="F3" s="75" t="s">
        <v>4</v>
      </c>
      <c r="G3" s="75" t="s">
        <v>66</v>
      </c>
      <c r="H3" s="6"/>
      <c r="I3" s="75" t="s">
        <v>82</v>
      </c>
      <c r="J3" s="76" t="s">
        <v>83</v>
      </c>
      <c r="K3" s="6"/>
      <c r="L3" s="6"/>
      <c r="M3" s="6"/>
    </row>
    <row r="4" spans="1:13">
      <c r="A4" s="205" t="s">
        <v>58</v>
      </c>
      <c r="B4" s="205">
        <v>10</v>
      </c>
      <c r="C4" s="6"/>
      <c r="D4" s="178"/>
      <c r="E4" s="6"/>
      <c r="F4" s="256">
        <v>44666</v>
      </c>
      <c r="G4" s="257">
        <v>250000</v>
      </c>
      <c r="H4" s="6"/>
      <c r="I4" s="258">
        <v>0.03</v>
      </c>
      <c r="J4" s="196">
        <f>B7</f>
        <v>44635</v>
      </c>
      <c r="K4" s="6"/>
      <c r="L4" s="6"/>
      <c r="M4" s="6"/>
    </row>
    <row r="5" spans="1:13">
      <c r="A5" s="205" t="s">
        <v>84</v>
      </c>
      <c r="B5" s="205" t="s">
        <v>85</v>
      </c>
      <c r="C5" s="6"/>
      <c r="D5" s="178"/>
      <c r="E5" s="6"/>
      <c r="F5" s="256">
        <f>EDATE(F4,4)</f>
        <v>44788</v>
      </c>
      <c r="G5" s="257">
        <v>250000</v>
      </c>
      <c r="H5" s="6"/>
      <c r="I5" s="258">
        <v>0.02</v>
      </c>
      <c r="J5" s="312">
        <f>EDATE(J4,48)</f>
        <v>46096</v>
      </c>
      <c r="K5" s="6"/>
      <c r="L5" s="6"/>
      <c r="M5" s="6"/>
    </row>
    <row r="6" spans="1:13">
      <c r="A6" s="205" t="s">
        <v>86</v>
      </c>
      <c r="B6" s="204" t="s">
        <v>87</v>
      </c>
      <c r="C6" s="6"/>
      <c r="D6" s="6"/>
      <c r="E6" s="6"/>
      <c r="F6" s="259">
        <f>EDATE(F5,6)</f>
        <v>44972</v>
      </c>
      <c r="G6" s="260">
        <v>-100000</v>
      </c>
      <c r="H6" s="6"/>
      <c r="I6" s="258">
        <v>1.4999999999999999E-2</v>
      </c>
      <c r="J6" s="92">
        <f>EDATE(J5,18)</f>
        <v>46645</v>
      </c>
      <c r="K6" s="6"/>
      <c r="L6" s="6"/>
      <c r="M6" s="6"/>
    </row>
    <row r="7" spans="1:13">
      <c r="A7" s="307" t="s">
        <v>88</v>
      </c>
      <c r="B7" s="266">
        <v>44635</v>
      </c>
      <c r="C7" s="6"/>
      <c r="D7" s="6"/>
      <c r="E7" s="6"/>
      <c r="F7" s="256">
        <f>EDATE(F6,8)</f>
        <v>45214</v>
      </c>
      <c r="G7" s="261">
        <v>600000</v>
      </c>
      <c r="H7" s="6"/>
      <c r="I7" s="6"/>
      <c r="J7" s="6"/>
      <c r="K7" s="6"/>
      <c r="L7" s="6"/>
      <c r="M7" s="6"/>
    </row>
    <row r="8" spans="1:13">
      <c r="A8" s="205" t="s">
        <v>89</v>
      </c>
      <c r="B8" s="196">
        <v>46006</v>
      </c>
      <c r="C8" s="6"/>
      <c r="D8" s="6"/>
      <c r="E8" s="6"/>
      <c r="F8" s="254" t="s">
        <v>90</v>
      </c>
      <c r="G8" s="262">
        <f>SUM(G4:G7)</f>
        <v>1000000</v>
      </c>
      <c r="H8" s="6"/>
      <c r="I8" s="6"/>
      <c r="J8" s="6"/>
      <c r="K8" s="6"/>
      <c r="L8" s="6"/>
      <c r="M8" s="6"/>
    </row>
    <row r="9" spans="1:13">
      <c r="A9" s="308" t="s">
        <v>91</v>
      </c>
      <c r="B9" s="309">
        <f>B7+B14</f>
        <v>45853</v>
      </c>
      <c r="C9" s="6"/>
      <c r="D9" s="6"/>
      <c r="E9" s="6"/>
      <c r="F9" s="14"/>
      <c r="G9" s="6"/>
      <c r="H9" s="6"/>
      <c r="I9" s="6"/>
      <c r="J9" s="6"/>
      <c r="K9" s="6"/>
      <c r="L9" s="6"/>
      <c r="M9" s="6"/>
    </row>
    <row r="10" spans="1:13">
      <c r="A10" s="310" t="s">
        <v>198</v>
      </c>
      <c r="B10" s="311">
        <v>0.03</v>
      </c>
      <c r="C10" s="263"/>
      <c r="E10" s="6"/>
      <c r="F10" s="19"/>
      <c r="G10" s="6"/>
      <c r="H10" s="6"/>
      <c r="I10" s="6"/>
      <c r="J10" s="6"/>
      <c r="K10" s="6"/>
      <c r="L10" s="6"/>
      <c r="M10" s="6"/>
    </row>
    <row r="11" spans="1:13">
      <c r="A11" s="269" t="s">
        <v>93</v>
      </c>
      <c r="B11" s="205">
        <v>365</v>
      </c>
      <c r="C11" s="263"/>
      <c r="D11" s="6"/>
      <c r="E11" s="6"/>
      <c r="F11" s="19"/>
      <c r="G11" s="6"/>
      <c r="H11" s="6"/>
      <c r="I11" s="6"/>
      <c r="J11" s="6"/>
      <c r="K11" s="6"/>
      <c r="L11" s="6"/>
      <c r="M11" s="6"/>
    </row>
    <row r="12" spans="1:13">
      <c r="A12" s="205" t="s">
        <v>94</v>
      </c>
      <c r="B12" s="268">
        <v>2.5000000000000001E-3</v>
      </c>
      <c r="C12" s="6"/>
      <c r="D12" s="6"/>
      <c r="E12" s="6"/>
      <c r="F12" s="201"/>
      <c r="G12" s="6"/>
      <c r="H12" s="6"/>
      <c r="I12" s="6"/>
      <c r="J12" s="6"/>
      <c r="K12" s="6"/>
      <c r="L12" s="6"/>
      <c r="M12" s="6"/>
    </row>
    <row r="13" spans="1:13">
      <c r="A13" s="205" t="s">
        <v>95</v>
      </c>
      <c r="B13" s="205" t="s">
        <v>85</v>
      </c>
      <c r="C13" s="6"/>
      <c r="E13" s="6"/>
      <c r="F13" s="6"/>
      <c r="G13" s="6"/>
      <c r="H13" s="6"/>
      <c r="I13" s="6"/>
      <c r="J13" s="6"/>
      <c r="K13" s="6"/>
      <c r="L13" s="6"/>
      <c r="M13" s="6"/>
    </row>
    <row r="14" spans="1:13">
      <c r="A14" s="205" t="s">
        <v>96</v>
      </c>
      <c r="B14" s="205">
        <v>1218</v>
      </c>
      <c r="C14" s="6"/>
      <c r="D14" s="6"/>
      <c r="E14" s="6"/>
      <c r="F14" s="6"/>
      <c r="G14" s="6"/>
      <c r="H14" s="6"/>
      <c r="I14" s="6"/>
      <c r="J14" s="6"/>
      <c r="K14" s="6"/>
      <c r="L14" s="6"/>
      <c r="M14" s="6"/>
    </row>
    <row r="15" spans="1:13">
      <c r="A15" s="267" t="s">
        <v>97</v>
      </c>
      <c r="B15" s="196">
        <v>44757</v>
      </c>
      <c r="C15" s="6"/>
      <c r="D15" s="14"/>
      <c r="E15" s="265"/>
      <c r="F15" s="6"/>
      <c r="G15" s="6"/>
      <c r="H15" s="6"/>
      <c r="I15" s="6"/>
      <c r="J15" s="6"/>
      <c r="K15" s="6"/>
      <c r="L15" s="6"/>
      <c r="M15" s="6"/>
    </row>
    <row r="16" spans="1:13" ht="29">
      <c r="A16" s="267" t="s">
        <v>98</v>
      </c>
      <c r="B16" s="205">
        <v>2</v>
      </c>
      <c r="C16" s="6"/>
      <c r="D16" s="6"/>
      <c r="E16" s="265"/>
      <c r="F16" s="6"/>
      <c r="G16" s="6"/>
      <c r="H16" s="6"/>
      <c r="I16" s="6"/>
      <c r="J16" s="6"/>
      <c r="K16" s="6"/>
      <c r="L16" s="6"/>
      <c r="M16" s="6"/>
    </row>
    <row r="17" spans="1:14" ht="7" customHeight="1">
      <c r="A17" s="264"/>
      <c r="B17" s="6"/>
      <c r="C17" s="6"/>
      <c r="D17" s="6"/>
      <c r="E17" s="265"/>
      <c r="F17" s="6"/>
      <c r="G17" s="6"/>
      <c r="H17" s="6"/>
      <c r="I17" s="6"/>
      <c r="J17" s="6"/>
      <c r="K17" s="6"/>
      <c r="L17" s="6"/>
      <c r="M17" s="6"/>
    </row>
    <row r="18" spans="1:14" ht="8.5" customHeight="1">
      <c r="A18" s="6"/>
      <c r="B18" s="6"/>
      <c r="C18" s="6"/>
      <c r="D18" s="6"/>
      <c r="E18" s="6"/>
      <c r="F18" s="6"/>
      <c r="G18" s="6"/>
      <c r="H18" s="6"/>
      <c r="I18" s="6"/>
      <c r="J18" s="6"/>
      <c r="K18" s="6"/>
      <c r="L18" s="6"/>
      <c r="M18" s="6"/>
    </row>
    <row r="19" spans="1:14" s="74" customFormat="1" ht="43.5" customHeight="1">
      <c r="A19" s="91" t="s">
        <v>4</v>
      </c>
      <c r="B19" s="91" t="s">
        <v>6</v>
      </c>
      <c r="C19" s="91" t="s">
        <v>99</v>
      </c>
      <c r="D19" s="91" t="s">
        <v>75</v>
      </c>
      <c r="E19" s="91" t="s">
        <v>100</v>
      </c>
      <c r="F19" s="91" t="s">
        <v>201</v>
      </c>
      <c r="G19" s="91" t="s">
        <v>18</v>
      </c>
      <c r="H19" s="91" t="s">
        <v>101</v>
      </c>
      <c r="I19" s="91" t="s">
        <v>74</v>
      </c>
      <c r="J19" s="91" t="s">
        <v>20</v>
      </c>
      <c r="K19" s="91" t="s">
        <v>80</v>
      </c>
      <c r="L19" s="304"/>
      <c r="M19" s="304"/>
    </row>
    <row r="20" spans="1:14">
      <c r="A20" s="270">
        <f>B7</f>
        <v>44635</v>
      </c>
      <c r="B20" s="271">
        <v>0</v>
      </c>
      <c r="C20" s="271">
        <v>0</v>
      </c>
      <c r="D20" s="271">
        <v>0</v>
      </c>
      <c r="E20" s="271">
        <v>0</v>
      </c>
      <c r="F20" s="271">
        <f>H20*$B$12*J20</f>
        <v>0</v>
      </c>
      <c r="G20" s="271">
        <f>B20-D20</f>
        <v>0</v>
      </c>
      <c r="H20" s="272">
        <f>B3-G20</f>
        <v>1000000</v>
      </c>
      <c r="I20" s="300">
        <f>A20-B7</f>
        <v>0</v>
      </c>
      <c r="J20" s="273">
        <f t="shared" ref="J20:J40" si="0">I20/$B$11</f>
        <v>0</v>
      </c>
      <c r="K20" s="274"/>
      <c r="L20" s="6"/>
      <c r="M20" s="6"/>
    </row>
    <row r="21" spans="1:14">
      <c r="A21" s="275">
        <f>F4</f>
        <v>44666</v>
      </c>
      <c r="B21" s="276">
        <f>G4</f>
        <v>250000</v>
      </c>
      <c r="C21" s="172"/>
      <c r="D21" s="21">
        <v>0</v>
      </c>
      <c r="E21" s="427">
        <f>G20*$B$10*I21</f>
        <v>0</v>
      </c>
      <c r="F21" s="427">
        <f>H20*$B$12*J21</f>
        <v>212.32876712328766</v>
      </c>
      <c r="G21" s="430">
        <f>G20+B21-D21</f>
        <v>250000</v>
      </c>
      <c r="H21" s="430">
        <f>H20-G21</f>
        <v>750000</v>
      </c>
      <c r="I21" s="301">
        <f t="shared" ref="I21:I40" si="1">A21-A20</f>
        <v>31</v>
      </c>
      <c r="J21" s="273">
        <f t="shared" si="0"/>
        <v>8.4931506849315067E-2</v>
      </c>
      <c r="K21" s="274"/>
      <c r="L21" s="6"/>
      <c r="M21" s="6"/>
    </row>
    <row r="22" spans="1:14">
      <c r="A22" s="278">
        <f>B15</f>
        <v>44757</v>
      </c>
      <c r="B22" s="227"/>
      <c r="C22" s="227"/>
      <c r="D22" s="279">
        <v>0</v>
      </c>
      <c r="E22" s="431">
        <f t="shared" ref="E22:E27" si="2">G21*$I$4*J22</f>
        <v>1869.8630136986301</v>
      </c>
      <c r="F22" s="431">
        <f>+H21*$B$12*J22</f>
        <v>467.46575342465752</v>
      </c>
      <c r="G22" s="432">
        <f t="shared" ref="G22:G39" si="3">G21+B22-D22</f>
        <v>250000</v>
      </c>
      <c r="H22" s="432">
        <f t="shared" ref="H22:H30" si="4">H21-B22</f>
        <v>750000</v>
      </c>
      <c r="I22" s="302">
        <f t="shared" si="1"/>
        <v>91</v>
      </c>
      <c r="J22" s="282">
        <f t="shared" si="0"/>
        <v>0.24931506849315069</v>
      </c>
      <c r="K22" s="280">
        <f>SUM(D21:F22)</f>
        <v>2549.6575342465753</v>
      </c>
      <c r="L22" s="6"/>
      <c r="M22" s="6"/>
      <c r="N22" s="5"/>
    </row>
    <row r="23" spans="1:14">
      <c r="A23" s="275">
        <f>F5</f>
        <v>44788</v>
      </c>
      <c r="B23" s="276">
        <f>G5</f>
        <v>250000</v>
      </c>
      <c r="C23" s="172"/>
      <c r="D23" s="21">
        <v>0</v>
      </c>
      <c r="E23" s="427">
        <f t="shared" si="2"/>
        <v>636.98630136986299</v>
      </c>
      <c r="F23" s="427">
        <f t="shared" ref="F23:F40" si="5">+H22*$B$12*J23</f>
        <v>159.24657534246575</v>
      </c>
      <c r="G23" s="430">
        <f t="shared" si="3"/>
        <v>500000</v>
      </c>
      <c r="H23" s="430">
        <f t="shared" si="4"/>
        <v>500000</v>
      </c>
      <c r="I23" s="301">
        <f t="shared" si="1"/>
        <v>31</v>
      </c>
      <c r="J23" s="273">
        <f t="shared" si="0"/>
        <v>8.4931506849315067E-2</v>
      </c>
      <c r="K23" s="274"/>
      <c r="L23" s="6"/>
      <c r="M23" s="6"/>
    </row>
    <row r="24" spans="1:14">
      <c r="A24" s="278">
        <f>EDATE(A22,6)</f>
        <v>44941</v>
      </c>
      <c r="B24" s="227"/>
      <c r="C24" s="227"/>
      <c r="D24" s="279">
        <v>0</v>
      </c>
      <c r="E24" s="431">
        <f t="shared" si="2"/>
        <v>6287.6712328767126</v>
      </c>
      <c r="F24" s="431">
        <f t="shared" si="5"/>
        <v>523.97260273972597</v>
      </c>
      <c r="G24" s="432">
        <f t="shared" si="3"/>
        <v>500000</v>
      </c>
      <c r="H24" s="432">
        <f t="shared" si="4"/>
        <v>500000</v>
      </c>
      <c r="I24" s="302">
        <f t="shared" si="1"/>
        <v>153</v>
      </c>
      <c r="J24" s="282">
        <f t="shared" si="0"/>
        <v>0.41917808219178082</v>
      </c>
      <c r="K24" s="280">
        <f>SUM(D23:F24)</f>
        <v>7607.8767123287671</v>
      </c>
      <c r="L24" s="6"/>
      <c r="M24" s="6"/>
      <c r="N24" s="5"/>
    </row>
    <row r="25" spans="1:14">
      <c r="A25" s="283">
        <f>F6</f>
        <v>44972</v>
      </c>
      <c r="B25" s="284">
        <f>G6</f>
        <v>-100000</v>
      </c>
      <c r="C25" s="172"/>
      <c r="D25" s="21">
        <v>0</v>
      </c>
      <c r="E25" s="427">
        <f t="shared" si="2"/>
        <v>1273.972602739726</v>
      </c>
      <c r="F25" s="427">
        <f t="shared" si="5"/>
        <v>106.16438356164383</v>
      </c>
      <c r="G25" s="430">
        <f t="shared" si="3"/>
        <v>400000</v>
      </c>
      <c r="H25" s="430">
        <f t="shared" si="4"/>
        <v>600000</v>
      </c>
      <c r="I25" s="301">
        <f t="shared" si="1"/>
        <v>31</v>
      </c>
      <c r="J25" s="273">
        <f t="shared" si="0"/>
        <v>8.4931506849315067E-2</v>
      </c>
      <c r="K25" s="274"/>
      <c r="L25" s="6"/>
      <c r="M25" s="6"/>
    </row>
    <row r="26" spans="1:14">
      <c r="A26" s="278">
        <f>EDATE(A24,6)</f>
        <v>45122</v>
      </c>
      <c r="B26" s="227"/>
      <c r="C26" s="227"/>
      <c r="D26" s="279">
        <v>0</v>
      </c>
      <c r="E26" s="431">
        <f t="shared" si="2"/>
        <v>4931.5068493150684</v>
      </c>
      <c r="F26" s="431">
        <f t="shared" si="5"/>
        <v>616.43835616438355</v>
      </c>
      <c r="G26" s="432">
        <f t="shared" si="3"/>
        <v>400000</v>
      </c>
      <c r="H26" s="432">
        <f t="shared" si="4"/>
        <v>600000</v>
      </c>
      <c r="I26" s="302">
        <f t="shared" si="1"/>
        <v>150</v>
      </c>
      <c r="J26" s="282">
        <f t="shared" si="0"/>
        <v>0.41095890410958902</v>
      </c>
      <c r="K26" s="280">
        <f>SUM(D25:F26)</f>
        <v>6928.0821917808216</v>
      </c>
      <c r="L26" s="6"/>
      <c r="M26" s="6"/>
      <c r="N26" s="5"/>
    </row>
    <row r="27" spans="1:14">
      <c r="A27" s="275">
        <f>F7</f>
        <v>45214</v>
      </c>
      <c r="B27" s="285">
        <f>G7</f>
        <v>600000</v>
      </c>
      <c r="C27" s="172"/>
      <c r="D27" s="21">
        <v>0</v>
      </c>
      <c r="E27" s="427">
        <f t="shared" si="2"/>
        <v>3024.6575342465758</v>
      </c>
      <c r="F27" s="427">
        <f>+H26*$B$12*J27</f>
        <v>378.08219178082197</v>
      </c>
      <c r="G27" s="430">
        <f t="shared" si="3"/>
        <v>1000000</v>
      </c>
      <c r="H27" s="430">
        <f t="shared" si="4"/>
        <v>0</v>
      </c>
      <c r="I27" s="301">
        <f t="shared" si="1"/>
        <v>92</v>
      </c>
      <c r="J27" s="273">
        <f t="shared" si="0"/>
        <v>0.25205479452054796</v>
      </c>
      <c r="K27" s="274"/>
      <c r="L27" s="6"/>
      <c r="M27" s="6"/>
    </row>
    <row r="28" spans="1:14">
      <c r="A28" s="278">
        <f>EDATE(A26,6)</f>
        <v>45306</v>
      </c>
      <c r="B28" s="227">
        <v>0</v>
      </c>
      <c r="C28" s="227"/>
      <c r="D28" s="279">
        <v>0</v>
      </c>
      <c r="E28" s="431">
        <f t="shared" ref="E28:E31" si="6">G27*$I$4*J28</f>
        <v>7561.643835616439</v>
      </c>
      <c r="F28" s="431">
        <f t="shared" si="5"/>
        <v>0</v>
      </c>
      <c r="G28" s="432">
        <f t="shared" si="3"/>
        <v>1000000</v>
      </c>
      <c r="H28" s="432">
        <f t="shared" si="4"/>
        <v>0</v>
      </c>
      <c r="I28" s="302">
        <f t="shared" si="1"/>
        <v>92</v>
      </c>
      <c r="J28" s="282">
        <f t="shared" si="0"/>
        <v>0.25205479452054796</v>
      </c>
      <c r="K28" s="280">
        <f>SUM(D27:F28)</f>
        <v>10964.383561643837</v>
      </c>
      <c r="L28" s="6"/>
      <c r="M28" s="6"/>
      <c r="N28" s="5"/>
    </row>
    <row r="29" spans="1:14">
      <c r="A29" s="278">
        <f>EDATE(A28,6)</f>
        <v>45488</v>
      </c>
      <c r="B29" s="227">
        <v>0</v>
      </c>
      <c r="C29" s="227"/>
      <c r="D29" s="279">
        <v>0</v>
      </c>
      <c r="E29" s="431">
        <f t="shared" si="6"/>
        <v>14958.904109589041</v>
      </c>
      <c r="F29" s="431">
        <f t="shared" si="5"/>
        <v>0</v>
      </c>
      <c r="G29" s="432">
        <f t="shared" si="3"/>
        <v>1000000</v>
      </c>
      <c r="H29" s="432">
        <f t="shared" si="4"/>
        <v>0</v>
      </c>
      <c r="I29" s="302">
        <f t="shared" si="1"/>
        <v>182</v>
      </c>
      <c r="J29" s="282">
        <f t="shared" si="0"/>
        <v>0.49863013698630138</v>
      </c>
      <c r="K29" s="280">
        <f t="shared" ref="K29:K40" si="7">D29+E29+F29</f>
        <v>14958.904109589041</v>
      </c>
      <c r="L29" s="6"/>
      <c r="M29" s="6"/>
    </row>
    <row r="30" spans="1:14">
      <c r="A30" s="278">
        <f>EDATE(A29,6)</f>
        <v>45672</v>
      </c>
      <c r="B30" s="227">
        <v>0</v>
      </c>
      <c r="C30" s="227"/>
      <c r="D30" s="279">
        <v>0</v>
      </c>
      <c r="E30" s="431">
        <f t="shared" si="6"/>
        <v>15123.287671232878</v>
      </c>
      <c r="F30" s="431">
        <f t="shared" si="5"/>
        <v>0</v>
      </c>
      <c r="G30" s="432">
        <f t="shared" si="3"/>
        <v>1000000</v>
      </c>
      <c r="H30" s="432">
        <f t="shared" si="4"/>
        <v>0</v>
      </c>
      <c r="I30" s="302">
        <f t="shared" si="1"/>
        <v>184</v>
      </c>
      <c r="J30" s="282">
        <f t="shared" si="0"/>
        <v>0.50410958904109593</v>
      </c>
      <c r="K30" s="280">
        <f t="shared" si="7"/>
        <v>15123.287671232878</v>
      </c>
      <c r="L30" s="6"/>
      <c r="M30" s="6"/>
    </row>
    <row r="31" spans="1:14">
      <c r="A31" s="286">
        <f>B9</f>
        <v>45853</v>
      </c>
      <c r="B31" s="287">
        <v>0</v>
      </c>
      <c r="C31" s="288">
        <v>1</v>
      </c>
      <c r="D31" s="433">
        <f>G30/B4</f>
        <v>100000</v>
      </c>
      <c r="E31" s="433">
        <f t="shared" si="6"/>
        <v>14876.712328767124</v>
      </c>
      <c r="F31" s="433">
        <f t="shared" si="5"/>
        <v>0</v>
      </c>
      <c r="G31" s="434">
        <f t="shared" si="3"/>
        <v>900000</v>
      </c>
      <c r="H31" s="434">
        <v>0</v>
      </c>
      <c r="I31" s="435">
        <f t="shared" si="1"/>
        <v>181</v>
      </c>
      <c r="J31" s="436">
        <f t="shared" si="0"/>
        <v>0.49589041095890413</v>
      </c>
      <c r="K31" s="289">
        <f t="shared" si="7"/>
        <v>114876.71232876713</v>
      </c>
      <c r="L31" s="6"/>
      <c r="M31" s="6"/>
    </row>
    <row r="32" spans="1:14">
      <c r="A32" s="452">
        <f t="shared" ref="A32:A40" si="8">EDATE(A31,6)</f>
        <v>46037</v>
      </c>
      <c r="B32" s="321">
        <v>0</v>
      </c>
      <c r="C32" s="322">
        <f t="shared" ref="C32:C40" si="9">C31+1</f>
        <v>2</v>
      </c>
      <c r="D32" s="321">
        <f>G31/COUNT(A32:$A$40)</f>
        <v>100000</v>
      </c>
      <c r="E32" s="321">
        <f>G31*$I$4*J32</f>
        <v>13610.95890410959</v>
      </c>
      <c r="F32" s="321">
        <f t="shared" si="5"/>
        <v>0</v>
      </c>
      <c r="G32" s="324">
        <f t="shared" si="3"/>
        <v>800000</v>
      </c>
      <c r="H32" s="324">
        <v>0</v>
      </c>
      <c r="I32" s="325">
        <f t="shared" si="1"/>
        <v>184</v>
      </c>
      <c r="J32" s="326">
        <f t="shared" si="0"/>
        <v>0.50410958904109593</v>
      </c>
      <c r="K32" s="327">
        <f t="shared" si="7"/>
        <v>113610.95890410959</v>
      </c>
      <c r="L32" s="19"/>
      <c r="M32" s="6"/>
    </row>
    <row r="33" spans="1:13">
      <c r="A33" s="286">
        <f t="shared" si="8"/>
        <v>46218</v>
      </c>
      <c r="B33" s="21">
        <v>0</v>
      </c>
      <c r="C33" s="172">
        <f t="shared" si="9"/>
        <v>3</v>
      </c>
      <c r="D33" s="21">
        <f>G32/COUNT(A33:$A$40)</f>
        <v>100000</v>
      </c>
      <c r="E33" s="21">
        <f>G32*$I$5*J33</f>
        <v>7934.2465753424658</v>
      </c>
      <c r="F33" s="21">
        <f t="shared" si="5"/>
        <v>0</v>
      </c>
      <c r="G33" s="272">
        <f t="shared" si="3"/>
        <v>700000</v>
      </c>
      <c r="H33" s="272">
        <v>0</v>
      </c>
      <c r="I33" s="301">
        <f t="shared" si="1"/>
        <v>181</v>
      </c>
      <c r="J33" s="273">
        <f t="shared" si="0"/>
        <v>0.49589041095890413</v>
      </c>
      <c r="K33" s="291">
        <f t="shared" si="7"/>
        <v>107934.24657534246</v>
      </c>
      <c r="L33" s="19"/>
      <c r="M33" s="6"/>
    </row>
    <row r="34" spans="1:13">
      <c r="A34" s="286">
        <f t="shared" si="8"/>
        <v>46402</v>
      </c>
      <c r="B34" s="21">
        <v>0</v>
      </c>
      <c r="C34" s="172">
        <f t="shared" si="9"/>
        <v>4</v>
      </c>
      <c r="D34" s="21">
        <f>G33/COUNT(A34:$A$40)</f>
        <v>100000</v>
      </c>
      <c r="E34" s="21">
        <f>G33*$I$5*J34</f>
        <v>7057.5342465753429</v>
      </c>
      <c r="F34" s="21">
        <f t="shared" si="5"/>
        <v>0</v>
      </c>
      <c r="G34" s="272">
        <f t="shared" si="3"/>
        <v>600000</v>
      </c>
      <c r="H34" s="272">
        <v>0</v>
      </c>
      <c r="I34" s="301">
        <f t="shared" si="1"/>
        <v>184</v>
      </c>
      <c r="J34" s="273">
        <f t="shared" si="0"/>
        <v>0.50410958904109593</v>
      </c>
      <c r="K34" s="291">
        <f t="shared" si="7"/>
        <v>107057.53424657535</v>
      </c>
      <c r="L34" s="19"/>
      <c r="M34" s="6"/>
    </row>
    <row r="35" spans="1:13">
      <c r="A35" s="313">
        <f t="shared" si="8"/>
        <v>46583</v>
      </c>
      <c r="B35" s="314">
        <v>0</v>
      </c>
      <c r="C35" s="315">
        <f t="shared" si="9"/>
        <v>5</v>
      </c>
      <c r="D35" s="314">
        <f>G34/COUNT(A35:$A$40)</f>
        <v>100000</v>
      </c>
      <c r="E35" s="314">
        <f>G34*$I$5*J35</f>
        <v>5950.6849315068494</v>
      </c>
      <c r="F35" s="314">
        <f t="shared" si="5"/>
        <v>0</v>
      </c>
      <c r="G35" s="316">
        <f t="shared" si="3"/>
        <v>500000</v>
      </c>
      <c r="H35" s="316">
        <v>0</v>
      </c>
      <c r="I35" s="317">
        <f t="shared" si="1"/>
        <v>181</v>
      </c>
      <c r="J35" s="318">
        <f t="shared" si="0"/>
        <v>0.49589041095890413</v>
      </c>
      <c r="K35" s="319">
        <f t="shared" si="7"/>
        <v>105950.68493150685</v>
      </c>
      <c r="L35" s="19"/>
      <c r="M35" s="6"/>
    </row>
    <row r="36" spans="1:13">
      <c r="A36" s="286">
        <f t="shared" si="8"/>
        <v>46767</v>
      </c>
      <c r="B36" s="21">
        <v>0</v>
      </c>
      <c r="C36" s="172">
        <f t="shared" si="9"/>
        <v>6</v>
      </c>
      <c r="D36" s="21">
        <f>G35/COUNT(A36:$A$40)</f>
        <v>100000</v>
      </c>
      <c r="E36" s="21">
        <f>G35*$I$6*J36</f>
        <v>3780.8219178082195</v>
      </c>
      <c r="F36" s="21">
        <f t="shared" si="5"/>
        <v>0</v>
      </c>
      <c r="G36" s="272">
        <f t="shared" si="3"/>
        <v>400000</v>
      </c>
      <c r="H36" s="272">
        <v>0</v>
      </c>
      <c r="I36" s="301">
        <f t="shared" si="1"/>
        <v>184</v>
      </c>
      <c r="J36" s="273">
        <f t="shared" si="0"/>
        <v>0.50410958904109593</v>
      </c>
      <c r="K36" s="291">
        <f t="shared" si="7"/>
        <v>103780.82191780822</v>
      </c>
      <c r="L36" s="19"/>
      <c r="M36" s="6"/>
    </row>
    <row r="37" spans="1:13">
      <c r="A37" s="286">
        <f t="shared" si="8"/>
        <v>46949</v>
      </c>
      <c r="B37" s="21">
        <v>0</v>
      </c>
      <c r="C37" s="172">
        <f t="shared" si="9"/>
        <v>7</v>
      </c>
      <c r="D37" s="21">
        <f>G36/COUNT(A37:$A$40)</f>
        <v>100000</v>
      </c>
      <c r="E37" s="21">
        <f t="shared" ref="E37:E40" si="10">G36*$I$6*J37</f>
        <v>2991.7808219178082</v>
      </c>
      <c r="F37" s="21">
        <f t="shared" si="5"/>
        <v>0</v>
      </c>
      <c r="G37" s="272">
        <f t="shared" si="3"/>
        <v>300000</v>
      </c>
      <c r="H37" s="272">
        <v>0</v>
      </c>
      <c r="I37" s="301">
        <f t="shared" si="1"/>
        <v>182</v>
      </c>
      <c r="J37" s="273">
        <f t="shared" si="0"/>
        <v>0.49863013698630138</v>
      </c>
      <c r="K37" s="291">
        <f t="shared" si="7"/>
        <v>102991.78082191781</v>
      </c>
      <c r="L37" s="19"/>
      <c r="M37" s="6"/>
    </row>
    <row r="38" spans="1:13">
      <c r="A38" s="286">
        <f t="shared" si="8"/>
        <v>47133</v>
      </c>
      <c r="B38" s="21">
        <v>0</v>
      </c>
      <c r="C38" s="172">
        <f t="shared" si="9"/>
        <v>8</v>
      </c>
      <c r="D38" s="21">
        <f>G37/COUNT(A38:$A$40)</f>
        <v>100000</v>
      </c>
      <c r="E38" s="21">
        <f t="shared" si="10"/>
        <v>2268.4931506849316</v>
      </c>
      <c r="F38" s="21">
        <f t="shared" si="5"/>
        <v>0</v>
      </c>
      <c r="G38" s="272">
        <f t="shared" si="3"/>
        <v>200000</v>
      </c>
      <c r="H38" s="272">
        <v>0</v>
      </c>
      <c r="I38" s="301">
        <f t="shared" si="1"/>
        <v>184</v>
      </c>
      <c r="J38" s="273">
        <f t="shared" si="0"/>
        <v>0.50410958904109593</v>
      </c>
      <c r="K38" s="291">
        <f t="shared" si="7"/>
        <v>102268.49315068492</v>
      </c>
      <c r="L38" s="19"/>
      <c r="M38" s="6"/>
    </row>
    <row r="39" spans="1:13">
      <c r="A39" s="286">
        <f t="shared" si="8"/>
        <v>47314</v>
      </c>
      <c r="B39" s="21">
        <v>0</v>
      </c>
      <c r="C39" s="172">
        <f t="shared" si="9"/>
        <v>9</v>
      </c>
      <c r="D39" s="21">
        <f>G38/COUNT(A39:$A$40)</f>
        <v>100000</v>
      </c>
      <c r="E39" s="21">
        <f t="shared" si="10"/>
        <v>1487.6712328767123</v>
      </c>
      <c r="F39" s="21">
        <f t="shared" si="5"/>
        <v>0</v>
      </c>
      <c r="G39" s="272">
        <f t="shared" si="3"/>
        <v>100000</v>
      </c>
      <c r="H39" s="272">
        <v>0</v>
      </c>
      <c r="I39" s="301">
        <f t="shared" si="1"/>
        <v>181</v>
      </c>
      <c r="J39" s="273">
        <f t="shared" si="0"/>
        <v>0.49589041095890413</v>
      </c>
      <c r="K39" s="291">
        <f t="shared" si="7"/>
        <v>101487.67123287672</v>
      </c>
      <c r="L39" s="19"/>
      <c r="M39" s="6"/>
    </row>
    <row r="40" spans="1:13" ht="15" thickBot="1">
      <c r="A40" s="292">
        <f t="shared" si="8"/>
        <v>47498</v>
      </c>
      <c r="B40" s="293">
        <v>0</v>
      </c>
      <c r="C40" s="294">
        <f t="shared" si="9"/>
        <v>10</v>
      </c>
      <c r="D40" s="293">
        <f>G39/COUNT(A40:$A$40)</f>
        <v>100000</v>
      </c>
      <c r="E40" s="293">
        <f t="shared" si="10"/>
        <v>756.16438356164394</v>
      </c>
      <c r="F40" s="293">
        <f t="shared" si="5"/>
        <v>0</v>
      </c>
      <c r="G40" s="295">
        <f t="shared" ref="G40" si="11">G39-D40</f>
        <v>0</v>
      </c>
      <c r="H40" s="296">
        <v>0</v>
      </c>
      <c r="I40" s="303">
        <f t="shared" si="1"/>
        <v>184</v>
      </c>
      <c r="J40" s="298">
        <f t="shared" si="0"/>
        <v>0.50410958904109593</v>
      </c>
      <c r="K40" s="299">
        <f t="shared" si="7"/>
        <v>100756.16438356164</v>
      </c>
      <c r="L40" s="19"/>
      <c r="M40" s="6"/>
    </row>
    <row r="41" spans="1:13" s="6" customFormat="1">
      <c r="A41" s="14"/>
      <c r="D41" s="19"/>
      <c r="E41" s="19"/>
      <c r="F41" s="19"/>
      <c r="G41" s="19"/>
      <c r="H41" s="201"/>
      <c r="I41" s="305"/>
      <c r="J41" s="255"/>
    </row>
    <row r="42" spans="1:13">
      <c r="A42" s="14"/>
      <c r="B42" s="6"/>
      <c r="C42" s="6"/>
      <c r="D42" s="19"/>
      <c r="E42" s="19"/>
      <c r="F42" s="19"/>
      <c r="G42" s="19"/>
      <c r="H42" s="201"/>
      <c r="I42" s="305"/>
      <c r="J42" s="19"/>
      <c r="K42" s="6"/>
      <c r="L42" s="6"/>
      <c r="M42" s="6"/>
    </row>
    <row r="43" spans="1:13">
      <c r="A43" s="6"/>
      <c r="B43" s="6"/>
      <c r="C43" s="6"/>
      <c r="D43" s="6"/>
      <c r="E43" s="6"/>
      <c r="F43" s="6"/>
      <c r="G43" s="6"/>
      <c r="H43" s="6"/>
      <c r="I43" s="6"/>
      <c r="J43" s="6"/>
      <c r="K43" s="6"/>
      <c r="L43" s="6"/>
      <c r="M43" s="6"/>
    </row>
    <row r="44" spans="1:13">
      <c r="A44" s="6"/>
      <c r="B44" s="6"/>
      <c r="C44" s="6"/>
      <c r="D44" s="6"/>
      <c r="E44" s="6"/>
      <c r="F44" s="6"/>
      <c r="G44" s="6"/>
      <c r="H44" s="6"/>
      <c r="I44" s="6"/>
      <c r="J44" s="6"/>
      <c r="K44" s="6"/>
      <c r="L44" s="6"/>
      <c r="M44" s="6"/>
    </row>
    <row r="45" spans="1:13">
      <c r="A45" s="6"/>
      <c r="B45" s="6"/>
      <c r="C45" s="6"/>
      <c r="D45" s="6"/>
      <c r="E45" s="6"/>
      <c r="F45" s="6"/>
      <c r="G45" s="6"/>
      <c r="H45" s="6"/>
      <c r="I45" s="6"/>
      <c r="J45" s="6"/>
      <c r="K45" s="6"/>
      <c r="L45" s="6"/>
      <c r="M45" s="6"/>
    </row>
    <row r="46" spans="1:13" s="4" customFormat="1">
      <c r="A46" s="254"/>
      <c r="B46" s="254"/>
      <c r="C46" s="254"/>
      <c r="D46" s="254"/>
      <c r="E46" s="254"/>
      <c r="F46" s="254"/>
      <c r="G46" s="254"/>
      <c r="H46" s="254"/>
      <c r="I46" s="254"/>
      <c r="J46" s="254"/>
      <c r="K46" s="254"/>
      <c r="L46" s="254"/>
      <c r="M46" s="254"/>
    </row>
  </sheetData>
  <pageMargins left="0.511811024" right="0.511811024" top="0.78740157499999996" bottom="0.78740157499999996" header="0.31496062000000002" footer="0.31496062000000002"/>
  <pageSetup paperSize="9" orientation="portrait" r:id="rId1"/>
  <ignoredErrors>
    <ignoredError sqref="A25 A27 A31"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C409E-DC85-4477-997D-CE7E174CF585}">
  <sheetPr>
    <tabColor rgb="FFC00000"/>
  </sheetPr>
  <dimension ref="A1:N47"/>
  <sheetViews>
    <sheetView zoomScaleNormal="100" workbookViewId="0">
      <selection activeCell="A2" sqref="A2"/>
    </sheetView>
  </sheetViews>
  <sheetFormatPr defaultRowHeight="14.5"/>
  <cols>
    <col min="1" max="1" width="36.81640625" bestFit="1" customWidth="1"/>
    <col min="2" max="2" width="21" customWidth="1"/>
    <col min="3" max="3" width="12.81640625" customWidth="1"/>
    <col min="4" max="4" width="17" bestFit="1" customWidth="1"/>
    <col min="5" max="5" width="15.1796875" customWidth="1"/>
    <col min="6" max="6" width="16.81640625" customWidth="1"/>
    <col min="7" max="7" width="23.453125" customWidth="1"/>
    <col min="8" max="8" width="18.7265625" bestFit="1" customWidth="1"/>
    <col min="9" max="9" width="23" customWidth="1"/>
    <col min="10" max="10" width="22.1796875" bestFit="1" customWidth="1"/>
    <col min="11" max="11" width="17" bestFit="1" customWidth="1"/>
    <col min="12" max="12" width="2.1796875" customWidth="1"/>
  </cols>
  <sheetData>
    <row r="1" spans="1:12">
      <c r="A1" s="15" t="s">
        <v>226</v>
      </c>
      <c r="B1" s="254"/>
      <c r="C1" s="6"/>
      <c r="D1" s="6"/>
      <c r="E1" s="6"/>
      <c r="F1" s="6"/>
      <c r="G1" s="6"/>
      <c r="H1" s="6"/>
      <c r="I1" s="6"/>
      <c r="J1" s="6"/>
      <c r="K1" s="6"/>
      <c r="L1" s="6"/>
    </row>
    <row r="2" spans="1:12" ht="42.5" customHeight="1">
      <c r="A2" s="6"/>
      <c r="B2" s="6"/>
      <c r="C2" s="254"/>
      <c r="D2" s="6"/>
      <c r="E2" s="6"/>
      <c r="F2" s="370" t="s">
        <v>4</v>
      </c>
      <c r="G2" s="370" t="s">
        <v>66</v>
      </c>
      <c r="H2" s="46"/>
      <c r="I2" s="520" t="s">
        <v>82</v>
      </c>
      <c r="J2" s="520" t="s">
        <v>83</v>
      </c>
      <c r="K2" s="6"/>
      <c r="L2" s="6"/>
    </row>
    <row r="3" spans="1:12" ht="15.5">
      <c r="A3" s="340" t="s">
        <v>81</v>
      </c>
      <c r="B3" s="341">
        <v>1500000</v>
      </c>
      <c r="C3" s="342"/>
      <c r="D3" s="46"/>
      <c r="E3" s="46"/>
      <c r="F3" s="343">
        <v>44666</v>
      </c>
      <c r="G3" s="344">
        <v>250000</v>
      </c>
      <c r="H3" s="46"/>
      <c r="I3" s="345">
        <v>0.03</v>
      </c>
      <c r="J3" s="346">
        <v>44576</v>
      </c>
      <c r="K3" s="46"/>
      <c r="L3" s="6"/>
    </row>
    <row r="4" spans="1:12" ht="15.5">
      <c r="A4" s="340" t="s">
        <v>58</v>
      </c>
      <c r="B4" s="340">
        <v>10</v>
      </c>
      <c r="C4" s="46"/>
      <c r="D4" s="347"/>
      <c r="E4" s="46"/>
      <c r="F4" s="343">
        <f>EDATE(F3,4)</f>
        <v>44788</v>
      </c>
      <c r="G4" s="344">
        <v>250000</v>
      </c>
      <c r="H4" s="46"/>
      <c r="I4" s="345">
        <v>0.02</v>
      </c>
      <c r="J4" s="348">
        <f>EDATE(J3,48)</f>
        <v>46037</v>
      </c>
      <c r="K4" s="46"/>
      <c r="L4" s="6"/>
    </row>
    <row r="5" spans="1:12" ht="15.5">
      <c r="A5" s="340" t="s">
        <v>84</v>
      </c>
      <c r="B5" s="340" t="s">
        <v>85</v>
      </c>
      <c r="C5" s="46"/>
      <c r="D5" s="347"/>
      <c r="E5" s="46"/>
      <c r="F5" s="349">
        <f>EDATE(F4,6)</f>
        <v>44972</v>
      </c>
      <c r="G5" s="350">
        <v>-100000</v>
      </c>
      <c r="H5" s="351"/>
      <c r="I5" s="345">
        <v>1.4999999999999999E-2</v>
      </c>
      <c r="J5" s="352">
        <f>EDATE(J4,18)</f>
        <v>46583</v>
      </c>
      <c r="K5" s="46"/>
      <c r="L5" s="6"/>
    </row>
    <row r="6" spans="1:12" ht="15.5">
      <c r="A6" s="340" t="s">
        <v>86</v>
      </c>
      <c r="B6" s="353" t="s">
        <v>87</v>
      </c>
      <c r="C6" s="46"/>
      <c r="D6" s="46"/>
      <c r="E6" s="46"/>
      <c r="F6" s="343">
        <f>EDATE(F5,8)</f>
        <v>45214</v>
      </c>
      <c r="G6" s="354">
        <v>600000</v>
      </c>
      <c r="H6" s="46"/>
      <c r="I6" s="46"/>
      <c r="J6" s="46"/>
      <c r="K6" s="46"/>
      <c r="L6" s="6"/>
    </row>
    <row r="7" spans="1:12" ht="15.5">
      <c r="A7" s="355" t="s">
        <v>88</v>
      </c>
      <c r="B7" s="356">
        <v>44576</v>
      </c>
      <c r="C7" s="46"/>
      <c r="D7" s="46"/>
      <c r="E7" s="46"/>
      <c r="F7" s="357">
        <v>47133</v>
      </c>
      <c r="G7" s="358">
        <v>500000</v>
      </c>
      <c r="H7" s="46"/>
      <c r="I7" s="46"/>
      <c r="J7" s="46"/>
      <c r="K7" s="46"/>
      <c r="L7" s="6"/>
    </row>
    <row r="8" spans="1:12" ht="15.5">
      <c r="A8" s="340" t="s">
        <v>89</v>
      </c>
      <c r="B8" s="346">
        <v>46006</v>
      </c>
      <c r="C8" s="46"/>
      <c r="D8" s="46"/>
      <c r="E8" s="46"/>
      <c r="F8" s="428" t="s">
        <v>43</v>
      </c>
      <c r="G8" s="429">
        <f>SUM(G3:G7)</f>
        <v>1500000</v>
      </c>
      <c r="H8" s="46"/>
      <c r="I8" s="46"/>
      <c r="J8" s="46"/>
      <c r="K8" s="46"/>
      <c r="L8" s="6"/>
    </row>
    <row r="9" spans="1:12" ht="15.5">
      <c r="A9" s="359" t="s">
        <v>91</v>
      </c>
      <c r="B9" s="360">
        <v>45853</v>
      </c>
      <c r="C9" s="361"/>
      <c r="D9" s="46"/>
      <c r="E9" s="46"/>
      <c r="F9" s="46"/>
      <c r="G9" s="46"/>
      <c r="H9" s="46"/>
      <c r="I9" s="46"/>
      <c r="J9" s="46"/>
      <c r="K9" s="46"/>
      <c r="L9" s="6"/>
    </row>
    <row r="10" spans="1:12" ht="15.5">
      <c r="A10" s="362" t="s">
        <v>92</v>
      </c>
      <c r="B10" s="363">
        <v>0.03</v>
      </c>
      <c r="C10" s="46"/>
      <c r="D10" s="46"/>
      <c r="E10" s="46"/>
      <c r="F10" s="364"/>
      <c r="G10" s="46"/>
      <c r="H10" s="46"/>
      <c r="I10" s="46"/>
      <c r="J10" s="46"/>
      <c r="K10" s="46"/>
      <c r="L10" s="6"/>
    </row>
    <row r="11" spans="1:12" ht="15.5">
      <c r="A11" s="365" t="s">
        <v>93</v>
      </c>
      <c r="B11" s="340">
        <v>365</v>
      </c>
      <c r="C11" s="46"/>
      <c r="D11" s="46"/>
      <c r="E11" s="46"/>
      <c r="F11" s="46"/>
      <c r="G11" s="46"/>
      <c r="H11" s="46"/>
      <c r="I11" s="46"/>
      <c r="J11" s="46"/>
      <c r="K11" s="46"/>
      <c r="L11" s="6"/>
    </row>
    <row r="12" spans="1:12" ht="15.5">
      <c r="A12" s="340" t="s">
        <v>94</v>
      </c>
      <c r="B12" s="366">
        <v>2.5000000000000001E-3</v>
      </c>
      <c r="C12" s="46"/>
      <c r="D12" s="46"/>
      <c r="E12" s="367"/>
      <c r="F12" s="46"/>
      <c r="G12" s="46"/>
      <c r="H12" s="46"/>
      <c r="I12" s="46"/>
      <c r="J12" s="46"/>
      <c r="K12" s="46"/>
      <c r="L12" s="6"/>
    </row>
    <row r="13" spans="1:12" ht="15.5">
      <c r="A13" s="340" t="s">
        <v>95</v>
      </c>
      <c r="B13" s="340" t="s">
        <v>85</v>
      </c>
      <c r="C13" s="368"/>
      <c r="D13" s="46"/>
      <c r="E13" s="46"/>
      <c r="F13" s="46"/>
      <c r="G13" s="46"/>
      <c r="H13" s="46"/>
      <c r="I13" s="46"/>
      <c r="J13" s="46"/>
      <c r="K13" s="46"/>
      <c r="L13" s="6"/>
    </row>
    <row r="14" spans="1:12" ht="15.5">
      <c r="A14" s="340" t="s">
        <v>96</v>
      </c>
      <c r="B14" s="340">
        <f>B9-B7</f>
        <v>1277</v>
      </c>
      <c r="C14" s="368"/>
      <c r="D14" s="46"/>
      <c r="E14" s="46"/>
      <c r="F14" s="46"/>
      <c r="G14" s="46"/>
      <c r="H14" s="46"/>
      <c r="I14" s="46"/>
      <c r="J14" s="46"/>
      <c r="K14" s="46"/>
      <c r="L14" s="6"/>
    </row>
    <row r="15" spans="1:12" ht="16" customHeight="1">
      <c r="A15" s="369" t="s">
        <v>97</v>
      </c>
      <c r="B15" s="346">
        <v>44757</v>
      </c>
      <c r="C15" s="368"/>
      <c r="D15" s="46"/>
      <c r="E15" s="46"/>
      <c r="F15" s="46"/>
      <c r="G15" s="46"/>
      <c r="H15" s="46"/>
      <c r="I15" s="46"/>
      <c r="J15" s="46"/>
      <c r="K15" s="46"/>
      <c r="L15" s="6"/>
    </row>
    <row r="16" spans="1:12" ht="31">
      <c r="A16" s="369" t="s">
        <v>98</v>
      </c>
      <c r="B16" s="340">
        <v>2</v>
      </c>
      <c r="C16" s="368"/>
      <c r="D16" s="46"/>
      <c r="E16" s="46"/>
      <c r="F16" s="46"/>
      <c r="G16" s="46"/>
      <c r="H16" s="46"/>
      <c r="I16" s="46"/>
      <c r="J16" s="46"/>
      <c r="K16" s="46"/>
      <c r="L16" s="6"/>
    </row>
    <row r="17" spans="1:14" ht="15.5">
      <c r="A17" s="368"/>
      <c r="B17" s="368"/>
      <c r="C17" s="368"/>
      <c r="D17" s="46"/>
      <c r="E17" s="46"/>
      <c r="F17" s="46"/>
      <c r="G17" s="46"/>
      <c r="H17" s="46"/>
      <c r="I17" s="46"/>
      <c r="J17" s="46"/>
      <c r="K17" s="46"/>
      <c r="L17" s="6"/>
    </row>
    <row r="18" spans="1:14" ht="22" customHeight="1">
      <c r="A18" s="126"/>
      <c r="B18" s="126"/>
      <c r="C18" s="126"/>
      <c r="D18" s="6"/>
      <c r="E18" s="6"/>
      <c r="F18" s="6"/>
      <c r="G18" s="6"/>
      <c r="H18" s="6"/>
      <c r="I18" s="6"/>
      <c r="J18" s="6"/>
      <c r="K18" s="6"/>
      <c r="L18" s="6"/>
    </row>
    <row r="19" spans="1:14" ht="9.65" customHeight="1">
      <c r="A19" s="6"/>
      <c r="B19" s="6"/>
      <c r="C19" s="6"/>
      <c r="D19" s="6"/>
      <c r="E19" s="6"/>
      <c r="F19" s="6"/>
      <c r="G19" s="6"/>
      <c r="H19" s="6"/>
      <c r="I19" s="6"/>
      <c r="J19" s="6"/>
      <c r="K19" s="6"/>
      <c r="L19" s="6"/>
    </row>
    <row r="20" spans="1:14" s="74" customFormat="1" ht="43.5" customHeight="1">
      <c r="A20" s="91" t="s">
        <v>4</v>
      </c>
      <c r="B20" s="91" t="s">
        <v>6</v>
      </c>
      <c r="C20" s="91" t="s">
        <v>99</v>
      </c>
      <c r="D20" s="91" t="s">
        <v>75</v>
      </c>
      <c r="E20" s="91" t="s">
        <v>100</v>
      </c>
      <c r="F20" s="306" t="s">
        <v>201</v>
      </c>
      <c r="G20" s="306" t="s">
        <v>18</v>
      </c>
      <c r="H20" s="306" t="s">
        <v>101</v>
      </c>
      <c r="I20" s="306" t="s">
        <v>74</v>
      </c>
      <c r="J20" s="306" t="s">
        <v>20</v>
      </c>
      <c r="K20" s="91" t="s">
        <v>80</v>
      </c>
      <c r="L20" s="304"/>
    </row>
    <row r="21" spans="1:14">
      <c r="A21" s="270">
        <f>B7</f>
        <v>44576</v>
      </c>
      <c r="B21" s="328">
        <v>0</v>
      </c>
      <c r="C21" s="437">
        <v>0</v>
      </c>
      <c r="D21" s="437">
        <v>0</v>
      </c>
      <c r="E21" s="437">
        <v>0</v>
      </c>
      <c r="F21" s="437">
        <f>H21*B12*J21</f>
        <v>0</v>
      </c>
      <c r="G21" s="273">
        <f>B21</f>
        <v>0</v>
      </c>
      <c r="H21" s="430">
        <f>B3</f>
        <v>1500000</v>
      </c>
      <c r="I21" s="277">
        <f>A21-$B$7</f>
        <v>0</v>
      </c>
      <c r="J21" s="277">
        <f>I21/$B$11</f>
        <v>0</v>
      </c>
      <c r="K21" s="274"/>
      <c r="L21" s="6"/>
      <c r="M21" s="6"/>
    </row>
    <row r="22" spans="1:14">
      <c r="A22" s="329">
        <f>F3</f>
        <v>44666</v>
      </c>
      <c r="B22" s="276">
        <f>G3</f>
        <v>250000</v>
      </c>
      <c r="C22" s="438"/>
      <c r="D22" s="427">
        <v>0</v>
      </c>
      <c r="E22" s="427">
        <f>G21*$I$3*I22</f>
        <v>0</v>
      </c>
      <c r="F22" s="427">
        <f>H21*$B$12*J22</f>
        <v>924.65753424657532</v>
      </c>
      <c r="G22" s="427">
        <f>B22</f>
        <v>250000</v>
      </c>
      <c r="H22" s="430">
        <f>H21-G22</f>
        <v>1250000</v>
      </c>
      <c r="I22" s="277">
        <f t="shared" ref="I22:I41" si="0">A22-A21</f>
        <v>90</v>
      </c>
      <c r="J22" s="273">
        <f t="shared" ref="J22:J41" si="1">I22/$B$11</f>
        <v>0.24657534246575341</v>
      </c>
      <c r="K22" s="274"/>
      <c r="L22" s="6"/>
      <c r="M22" s="6"/>
    </row>
    <row r="23" spans="1:14">
      <c r="A23" s="278">
        <f>B15</f>
        <v>44757</v>
      </c>
      <c r="B23" s="227"/>
      <c r="C23" s="439"/>
      <c r="D23" s="431">
        <v>0</v>
      </c>
      <c r="E23" s="431">
        <f>G22*$I$3*J23</f>
        <v>1869.8630136986301</v>
      </c>
      <c r="F23" s="431">
        <f t="shared" ref="F23:F41" si="2">H22*$B$12*J23</f>
        <v>779.10958904109589</v>
      </c>
      <c r="G23" s="431">
        <f>G22-D23</f>
        <v>250000</v>
      </c>
      <c r="H23" s="432">
        <f t="shared" ref="H23:H31" si="3">H22-B23</f>
        <v>1250000</v>
      </c>
      <c r="I23" s="281">
        <f t="shared" si="0"/>
        <v>91</v>
      </c>
      <c r="J23" s="282">
        <f t="shared" si="1"/>
        <v>0.24931506849315069</v>
      </c>
      <c r="K23" s="280">
        <f>SUM(D22:F23)</f>
        <v>3573.6301369863013</v>
      </c>
      <c r="L23" s="6"/>
    </row>
    <row r="24" spans="1:14">
      <c r="A24" s="275">
        <f>F4</f>
        <v>44788</v>
      </c>
      <c r="B24" s="276">
        <f>G4</f>
        <v>250000</v>
      </c>
      <c r="C24" s="438"/>
      <c r="D24" s="427">
        <v>0</v>
      </c>
      <c r="E24" s="427">
        <f t="shared" ref="E24:E31" si="4">G23*$I$3*J24</f>
        <v>636.98630136986299</v>
      </c>
      <c r="F24" s="427">
        <f t="shared" si="2"/>
        <v>265.41095890410958</v>
      </c>
      <c r="G24" s="427">
        <f>G23+B24</f>
        <v>500000</v>
      </c>
      <c r="H24" s="430">
        <f t="shared" si="3"/>
        <v>1000000</v>
      </c>
      <c r="I24" s="277">
        <f t="shared" si="0"/>
        <v>31</v>
      </c>
      <c r="J24" s="273">
        <f t="shared" si="1"/>
        <v>8.4931506849315067E-2</v>
      </c>
      <c r="K24" s="274"/>
      <c r="L24" s="6"/>
    </row>
    <row r="25" spans="1:14">
      <c r="A25" s="278">
        <f>EDATE(A23,6)</f>
        <v>44941</v>
      </c>
      <c r="B25" s="227"/>
      <c r="C25" s="439"/>
      <c r="D25" s="431">
        <v>0</v>
      </c>
      <c r="E25" s="431">
        <f t="shared" si="4"/>
        <v>6287.6712328767126</v>
      </c>
      <c r="F25" s="431">
        <f t="shared" si="2"/>
        <v>1047.9452054794519</v>
      </c>
      <c r="G25" s="431">
        <f>G24-D25</f>
        <v>500000</v>
      </c>
      <c r="H25" s="432">
        <f t="shared" si="3"/>
        <v>1000000</v>
      </c>
      <c r="I25" s="281">
        <f t="shared" si="0"/>
        <v>153</v>
      </c>
      <c r="J25" s="282">
        <f t="shared" si="1"/>
        <v>0.41917808219178082</v>
      </c>
      <c r="K25" s="280">
        <f>SUM(D24:F25)</f>
        <v>8238.0136986301368</v>
      </c>
      <c r="L25" s="6"/>
    </row>
    <row r="26" spans="1:14">
      <c r="A26" s="283">
        <f>F5</f>
        <v>44972</v>
      </c>
      <c r="B26" s="284">
        <f>G5</f>
        <v>-100000</v>
      </c>
      <c r="C26" s="438"/>
      <c r="D26" s="427">
        <v>0</v>
      </c>
      <c r="E26" s="427">
        <f t="shared" si="4"/>
        <v>1273.972602739726</v>
      </c>
      <c r="F26" s="427">
        <f t="shared" si="2"/>
        <v>212.32876712328766</v>
      </c>
      <c r="G26" s="427">
        <f>G25+B26</f>
        <v>400000</v>
      </c>
      <c r="H26" s="430">
        <f t="shared" si="3"/>
        <v>1100000</v>
      </c>
      <c r="I26" s="277">
        <f t="shared" si="0"/>
        <v>31</v>
      </c>
      <c r="J26" s="273">
        <f t="shared" si="1"/>
        <v>8.4931506849315067E-2</v>
      </c>
      <c r="K26" s="274"/>
      <c r="L26" s="6"/>
      <c r="M26" s="6"/>
      <c r="N26" s="6"/>
    </row>
    <row r="27" spans="1:14">
      <c r="A27" s="278">
        <f>EDATE(A25,6)</f>
        <v>45122</v>
      </c>
      <c r="B27" s="227"/>
      <c r="C27" s="439"/>
      <c r="D27" s="431">
        <v>0</v>
      </c>
      <c r="E27" s="431">
        <f t="shared" si="4"/>
        <v>4931.5068493150684</v>
      </c>
      <c r="F27" s="431">
        <f t="shared" si="2"/>
        <v>1130.1369863013697</v>
      </c>
      <c r="G27" s="431">
        <f>G26-D27</f>
        <v>400000</v>
      </c>
      <c r="H27" s="432">
        <f t="shared" si="3"/>
        <v>1100000</v>
      </c>
      <c r="I27" s="281">
        <f t="shared" si="0"/>
        <v>150</v>
      </c>
      <c r="J27" s="282">
        <f t="shared" si="1"/>
        <v>0.41095890410958902</v>
      </c>
      <c r="K27" s="280">
        <f>SUM(D26:F27)</f>
        <v>7547.9452054794519</v>
      </c>
      <c r="L27" s="6"/>
    </row>
    <row r="28" spans="1:14">
      <c r="A28" s="275">
        <f>F6</f>
        <v>45214</v>
      </c>
      <c r="B28" s="285">
        <f>G6</f>
        <v>600000</v>
      </c>
      <c r="C28" s="438"/>
      <c r="D28" s="427">
        <v>0</v>
      </c>
      <c r="E28" s="427">
        <f t="shared" si="4"/>
        <v>3024.6575342465758</v>
      </c>
      <c r="F28" s="427">
        <f t="shared" si="2"/>
        <v>693.15068493150693</v>
      </c>
      <c r="G28" s="427">
        <f>G27+B28</f>
        <v>1000000</v>
      </c>
      <c r="H28" s="430">
        <f t="shared" si="3"/>
        <v>500000</v>
      </c>
      <c r="I28" s="277">
        <f t="shared" si="0"/>
        <v>92</v>
      </c>
      <c r="J28" s="273">
        <f t="shared" si="1"/>
        <v>0.25205479452054796</v>
      </c>
      <c r="K28" s="274"/>
      <c r="L28" s="6"/>
    </row>
    <row r="29" spans="1:14">
      <c r="A29" s="278">
        <f>EDATE(A27,6)</f>
        <v>45306</v>
      </c>
      <c r="B29" s="279">
        <v>0</v>
      </c>
      <c r="C29" s="431"/>
      <c r="D29" s="431">
        <v>0</v>
      </c>
      <c r="E29" s="431">
        <f t="shared" si="4"/>
        <v>7561.643835616439</v>
      </c>
      <c r="F29" s="431">
        <f t="shared" si="2"/>
        <v>315.06849315068496</v>
      </c>
      <c r="G29" s="431">
        <f>G28-D29</f>
        <v>1000000</v>
      </c>
      <c r="H29" s="432">
        <f t="shared" si="3"/>
        <v>500000</v>
      </c>
      <c r="I29" s="281">
        <f t="shared" si="0"/>
        <v>92</v>
      </c>
      <c r="J29" s="282">
        <f t="shared" si="1"/>
        <v>0.25205479452054796</v>
      </c>
      <c r="K29" s="280">
        <f>SUM(D28:F29)</f>
        <v>11594.520547945207</v>
      </c>
      <c r="L29" s="6"/>
    </row>
    <row r="30" spans="1:14">
      <c r="A30" s="278">
        <f>EDATE(A29,6)</f>
        <v>45488</v>
      </c>
      <c r="B30" s="279">
        <v>0</v>
      </c>
      <c r="C30" s="439"/>
      <c r="D30" s="431">
        <v>0</v>
      </c>
      <c r="E30" s="431">
        <f t="shared" si="4"/>
        <v>14958.904109589041</v>
      </c>
      <c r="F30" s="431">
        <f t="shared" si="2"/>
        <v>623.28767123287673</v>
      </c>
      <c r="G30" s="431">
        <f>G29-D30</f>
        <v>1000000</v>
      </c>
      <c r="H30" s="432">
        <f t="shared" si="3"/>
        <v>500000</v>
      </c>
      <c r="I30" s="281">
        <f t="shared" si="0"/>
        <v>182</v>
      </c>
      <c r="J30" s="282">
        <f t="shared" si="1"/>
        <v>0.49863013698630138</v>
      </c>
      <c r="K30" s="280">
        <f t="shared" ref="K30:K39" si="5">D30+E30+F30</f>
        <v>15582.191780821917</v>
      </c>
      <c r="L30" s="6"/>
    </row>
    <row r="31" spans="1:14">
      <c r="A31" s="278">
        <f>EDATE(A30,6)</f>
        <v>45672</v>
      </c>
      <c r="B31" s="279">
        <v>0</v>
      </c>
      <c r="C31" s="439"/>
      <c r="D31" s="431">
        <v>0</v>
      </c>
      <c r="E31" s="431">
        <f t="shared" si="4"/>
        <v>15123.287671232878</v>
      </c>
      <c r="F31" s="431">
        <f t="shared" si="2"/>
        <v>630.13698630136992</v>
      </c>
      <c r="G31" s="431">
        <f>G30-D31</f>
        <v>1000000</v>
      </c>
      <c r="H31" s="432">
        <f t="shared" si="3"/>
        <v>500000</v>
      </c>
      <c r="I31" s="281">
        <f t="shared" si="0"/>
        <v>184</v>
      </c>
      <c r="J31" s="282">
        <f t="shared" si="1"/>
        <v>0.50410958904109593</v>
      </c>
      <c r="K31" s="280">
        <f t="shared" si="5"/>
        <v>15753.424657534248</v>
      </c>
      <c r="L31" s="6"/>
    </row>
    <row r="32" spans="1:14">
      <c r="A32" s="286">
        <f>B9</f>
        <v>45853</v>
      </c>
      <c r="B32" s="287">
        <v>0</v>
      </c>
      <c r="C32" s="440">
        <v>1</v>
      </c>
      <c r="D32" s="433">
        <f>G31/B4</f>
        <v>100000</v>
      </c>
      <c r="E32" s="433">
        <f>G31*$I$3*J32</f>
        <v>14876.712328767124</v>
      </c>
      <c r="F32" s="433">
        <f t="shared" si="2"/>
        <v>619.8630136986302</v>
      </c>
      <c r="G32" s="441">
        <f>G31-D32</f>
        <v>900000</v>
      </c>
      <c r="H32" s="434">
        <v>0</v>
      </c>
      <c r="I32" s="442">
        <f t="shared" si="0"/>
        <v>181</v>
      </c>
      <c r="J32" s="436">
        <f t="shared" si="1"/>
        <v>0.49589041095890413</v>
      </c>
      <c r="K32" s="289">
        <f t="shared" si="5"/>
        <v>115496.57534246576</v>
      </c>
      <c r="L32" s="6"/>
    </row>
    <row r="33" spans="1:12">
      <c r="A33" s="320">
        <f t="shared" ref="A33:A38" si="6">EDATE(A32,6)</f>
        <v>46037</v>
      </c>
      <c r="B33" s="321">
        <v>0</v>
      </c>
      <c r="C33" s="322">
        <f t="shared" ref="C33:C41" si="7">C32+1</f>
        <v>2</v>
      </c>
      <c r="D33" s="443">
        <f>G32/COUNT(A33:$A$41)</f>
        <v>100000</v>
      </c>
      <c r="E33" s="444">
        <f>G32*$I$3*J33</f>
        <v>13610.95890410959</v>
      </c>
      <c r="F33" s="321">
        <f t="shared" si="2"/>
        <v>0</v>
      </c>
      <c r="G33" s="323">
        <f>G32-D33</f>
        <v>800000</v>
      </c>
      <c r="H33" s="324">
        <v>0</v>
      </c>
      <c r="I33" s="330">
        <f t="shared" si="0"/>
        <v>184</v>
      </c>
      <c r="J33" s="326">
        <f t="shared" si="1"/>
        <v>0.50410958904109593</v>
      </c>
      <c r="K33" s="327">
        <f t="shared" si="5"/>
        <v>113610.95890410959</v>
      </c>
      <c r="L33" s="19"/>
    </row>
    <row r="34" spans="1:12">
      <c r="A34" s="286">
        <f t="shared" si="6"/>
        <v>46218</v>
      </c>
      <c r="B34" s="21">
        <v>0</v>
      </c>
      <c r="C34" s="172">
        <f t="shared" si="7"/>
        <v>3</v>
      </c>
      <c r="D34" s="427">
        <f>G33/COUNT(A34:$A$41)</f>
        <v>100000</v>
      </c>
      <c r="E34" s="445">
        <f>G33*$I$4*J34</f>
        <v>7934.2465753424658</v>
      </c>
      <c r="F34" s="21">
        <f t="shared" si="2"/>
        <v>0</v>
      </c>
      <c r="G34" s="290">
        <f t="shared" ref="G34:G38" si="8">G33-D34</f>
        <v>700000</v>
      </c>
      <c r="H34" s="272">
        <v>0</v>
      </c>
      <c r="I34" s="277">
        <f t="shared" si="0"/>
        <v>181</v>
      </c>
      <c r="J34" s="273">
        <f t="shared" si="1"/>
        <v>0.49589041095890413</v>
      </c>
      <c r="K34" s="291">
        <f t="shared" si="5"/>
        <v>107934.24657534246</v>
      </c>
      <c r="L34" s="19"/>
    </row>
    <row r="35" spans="1:12">
      <c r="A35" s="286">
        <f t="shared" si="6"/>
        <v>46402</v>
      </c>
      <c r="B35" s="21">
        <v>0</v>
      </c>
      <c r="C35" s="172">
        <f t="shared" si="7"/>
        <v>4</v>
      </c>
      <c r="D35" s="427">
        <f>G34/COUNT(A35:$A$41)</f>
        <v>100000</v>
      </c>
      <c r="E35" s="445">
        <f>G34*$I$4*J35</f>
        <v>7057.5342465753429</v>
      </c>
      <c r="F35" s="21">
        <f t="shared" si="2"/>
        <v>0</v>
      </c>
      <c r="G35" s="290">
        <f t="shared" si="8"/>
        <v>600000</v>
      </c>
      <c r="H35" s="272">
        <v>0</v>
      </c>
      <c r="I35" s="277">
        <f t="shared" si="0"/>
        <v>184</v>
      </c>
      <c r="J35" s="273">
        <f t="shared" si="1"/>
        <v>0.50410958904109593</v>
      </c>
      <c r="K35" s="291">
        <f t="shared" si="5"/>
        <v>107057.53424657535</v>
      </c>
      <c r="L35" s="19"/>
    </row>
    <row r="36" spans="1:12">
      <c r="A36" s="331">
        <f t="shared" si="6"/>
        <v>46583</v>
      </c>
      <c r="B36" s="332">
        <v>0</v>
      </c>
      <c r="C36" s="333">
        <f t="shared" si="7"/>
        <v>5</v>
      </c>
      <c r="D36" s="446">
        <f>G35/COUNT(A36:$A$41)</f>
        <v>100000</v>
      </c>
      <c r="E36" s="447">
        <f>G35*$I$4*J36</f>
        <v>5950.6849315068494</v>
      </c>
      <c r="F36" s="332">
        <f t="shared" si="2"/>
        <v>0</v>
      </c>
      <c r="G36" s="334">
        <f t="shared" si="8"/>
        <v>500000</v>
      </c>
      <c r="H36" s="335">
        <v>0</v>
      </c>
      <c r="I36" s="336">
        <f t="shared" si="0"/>
        <v>181</v>
      </c>
      <c r="J36" s="337">
        <f t="shared" si="1"/>
        <v>0.49589041095890413</v>
      </c>
      <c r="K36" s="338">
        <f t="shared" si="5"/>
        <v>105950.68493150685</v>
      </c>
      <c r="L36" s="19"/>
    </row>
    <row r="37" spans="1:12">
      <c r="A37" s="286">
        <f t="shared" si="6"/>
        <v>46767</v>
      </c>
      <c r="B37" s="21">
        <v>0</v>
      </c>
      <c r="C37" s="172">
        <f t="shared" si="7"/>
        <v>6</v>
      </c>
      <c r="D37" s="427">
        <f>G36/COUNT(A37:$A$41)</f>
        <v>100000</v>
      </c>
      <c r="E37" s="448">
        <f>G36*$I$5*J37</f>
        <v>3780.8219178082195</v>
      </c>
      <c r="F37" s="21">
        <f t="shared" si="2"/>
        <v>0</v>
      </c>
      <c r="G37" s="290">
        <f t="shared" si="8"/>
        <v>400000</v>
      </c>
      <c r="H37" s="272">
        <v>0</v>
      </c>
      <c r="I37" s="277">
        <f t="shared" si="0"/>
        <v>184</v>
      </c>
      <c r="J37" s="273">
        <f t="shared" si="1"/>
        <v>0.50410958904109593</v>
      </c>
      <c r="K37" s="291">
        <f t="shared" si="5"/>
        <v>103780.82191780822</v>
      </c>
      <c r="L37" s="19"/>
    </row>
    <row r="38" spans="1:12">
      <c r="A38" s="286">
        <f t="shared" si="6"/>
        <v>46949</v>
      </c>
      <c r="B38" s="21">
        <v>0</v>
      </c>
      <c r="C38" s="172">
        <f t="shared" si="7"/>
        <v>7</v>
      </c>
      <c r="D38" s="427">
        <f>G37/COUNT(A38:$A$41)</f>
        <v>100000</v>
      </c>
      <c r="E38" s="448">
        <f t="shared" ref="E38:E41" si="9">G37*$I$5*J38</f>
        <v>2991.7808219178082</v>
      </c>
      <c r="F38" s="21">
        <f t="shared" si="2"/>
        <v>0</v>
      </c>
      <c r="G38" s="290">
        <f t="shared" si="8"/>
        <v>300000</v>
      </c>
      <c r="H38" s="272">
        <v>0</v>
      </c>
      <c r="I38" s="277">
        <f t="shared" si="0"/>
        <v>182</v>
      </c>
      <c r="J38" s="273">
        <f t="shared" si="1"/>
        <v>0.49863013698630138</v>
      </c>
      <c r="K38" s="291">
        <f t="shared" si="5"/>
        <v>102991.78082191781</v>
      </c>
      <c r="L38" s="19"/>
    </row>
    <row r="39" spans="1:12">
      <c r="A39" s="286">
        <f>F7</f>
        <v>47133</v>
      </c>
      <c r="B39" s="339">
        <f>G7</f>
        <v>500000</v>
      </c>
      <c r="C39" s="172">
        <f t="shared" si="7"/>
        <v>8</v>
      </c>
      <c r="D39" s="427">
        <f>G38/COUNT(A39:$A$41)</f>
        <v>100000</v>
      </c>
      <c r="E39" s="448">
        <f t="shared" si="9"/>
        <v>2268.4931506849316</v>
      </c>
      <c r="F39" s="21">
        <f t="shared" si="2"/>
        <v>0</v>
      </c>
      <c r="G39" s="290">
        <f>G38+B39-D39</f>
        <v>700000</v>
      </c>
      <c r="H39" s="272">
        <v>0</v>
      </c>
      <c r="I39" s="277">
        <f t="shared" si="0"/>
        <v>184</v>
      </c>
      <c r="J39" s="273">
        <f t="shared" si="1"/>
        <v>0.50410958904109593</v>
      </c>
      <c r="K39" s="291">
        <f t="shared" si="5"/>
        <v>102268.49315068492</v>
      </c>
      <c r="L39" s="19"/>
    </row>
    <row r="40" spans="1:12">
      <c r="A40" s="286">
        <f>EDATE(A39,6)</f>
        <v>47314</v>
      </c>
      <c r="B40" s="21">
        <v>0</v>
      </c>
      <c r="C40" s="172">
        <f t="shared" si="7"/>
        <v>9</v>
      </c>
      <c r="D40" s="449">
        <f>G39/COUNT(A40:$A$41)</f>
        <v>350000</v>
      </c>
      <c r="E40" s="448">
        <f t="shared" si="9"/>
        <v>5206.8493150684935</v>
      </c>
      <c r="F40" s="21">
        <f t="shared" si="2"/>
        <v>0</v>
      </c>
      <c r="G40" s="290">
        <f>G39-D40</f>
        <v>350000</v>
      </c>
      <c r="H40" s="272">
        <v>0</v>
      </c>
      <c r="I40" s="277">
        <f t="shared" si="0"/>
        <v>181</v>
      </c>
      <c r="J40" s="273">
        <f t="shared" si="1"/>
        <v>0.49589041095890413</v>
      </c>
      <c r="K40" s="291">
        <f>D40+E40+F40</f>
        <v>355206.84931506851</v>
      </c>
      <c r="L40" s="19"/>
    </row>
    <row r="41" spans="1:12" ht="15" thickBot="1">
      <c r="A41" s="292">
        <f>EDATE(A40,6)</f>
        <v>47498</v>
      </c>
      <c r="B41" s="293">
        <v>0</v>
      </c>
      <c r="C41" s="294">
        <f t="shared" si="7"/>
        <v>10</v>
      </c>
      <c r="D41" s="450">
        <f>G40/COUNT(A41:$A$41)</f>
        <v>350000</v>
      </c>
      <c r="E41" s="451">
        <f t="shared" si="9"/>
        <v>2646.5753424657537</v>
      </c>
      <c r="F41" s="293">
        <f t="shared" si="2"/>
        <v>0</v>
      </c>
      <c r="G41" s="295">
        <f>G40-D41</f>
        <v>0</v>
      </c>
      <c r="H41" s="296">
        <v>0</v>
      </c>
      <c r="I41" s="297">
        <f t="shared" si="0"/>
        <v>184</v>
      </c>
      <c r="J41" s="298">
        <f t="shared" si="1"/>
        <v>0.50410958904109593</v>
      </c>
      <c r="K41" s="299">
        <f>D41+E41+F41</f>
        <v>352646.57534246577</v>
      </c>
      <c r="L41" s="19"/>
    </row>
    <row r="42" spans="1:12">
      <c r="A42" s="14"/>
      <c r="B42" s="6"/>
      <c r="C42" s="6"/>
      <c r="D42" s="19"/>
      <c r="E42" s="19"/>
      <c r="F42" s="19"/>
      <c r="G42" s="19"/>
      <c r="H42" s="201"/>
      <c r="I42" s="305"/>
      <c r="J42" s="255"/>
      <c r="K42" s="6"/>
      <c r="L42" s="6"/>
    </row>
    <row r="43" spans="1:12">
      <c r="A43" s="3"/>
      <c r="D43" s="1"/>
      <c r="E43" s="1"/>
      <c r="F43" s="1"/>
      <c r="G43" s="1"/>
      <c r="H43" s="2"/>
      <c r="I43" s="87"/>
      <c r="J43" s="1"/>
      <c r="L43" s="6"/>
    </row>
    <row r="44" spans="1:12">
      <c r="L44" s="6"/>
    </row>
    <row r="45" spans="1:12">
      <c r="L45" s="6"/>
    </row>
    <row r="46" spans="1:12">
      <c r="L46" s="6"/>
    </row>
    <row r="47" spans="1:12" s="4" customFormat="1">
      <c r="L47" s="254"/>
    </row>
  </sheetData>
  <pageMargins left="0.7" right="0.7" top="0.75" bottom="0.75" header="0.3" footer="0.3"/>
  <pageSetup orientation="portrait" r:id="rId1"/>
  <ignoredErrors>
    <ignoredError sqref="A26 A28 A32 A39"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0E46B-85DB-423A-AB44-F26FC0EF2A9E}">
  <dimension ref="A1:R27"/>
  <sheetViews>
    <sheetView zoomScaleNormal="100" workbookViewId="0">
      <selection activeCell="L1" sqref="L1"/>
    </sheetView>
  </sheetViews>
  <sheetFormatPr defaultRowHeight="14.5"/>
  <cols>
    <col min="5" max="7" width="8.7265625" style="139"/>
    <col min="8" max="8" width="8.7265625" style="140"/>
    <col min="9" max="9" width="8.7265625" style="139"/>
  </cols>
  <sheetData>
    <row r="1" spans="1:18">
      <c r="A1" s="15" t="s">
        <v>217</v>
      </c>
      <c r="B1" s="6"/>
      <c r="C1" s="6"/>
      <c r="D1" s="6"/>
      <c r="E1" s="521"/>
      <c r="F1" s="521"/>
      <c r="G1" s="521"/>
      <c r="H1" s="522"/>
      <c r="I1" s="521"/>
      <c r="J1" s="6"/>
      <c r="K1" s="6"/>
      <c r="L1" s="6"/>
      <c r="M1" s="6"/>
      <c r="N1" s="6"/>
      <c r="O1" s="6"/>
      <c r="P1" s="6"/>
      <c r="Q1" s="6"/>
      <c r="R1" s="6"/>
    </row>
    <row r="2" spans="1:18">
      <c r="A2" s="6"/>
      <c r="B2" s="6"/>
      <c r="C2" s="6"/>
      <c r="D2" s="6"/>
      <c r="E2" s="521"/>
      <c r="F2" s="521"/>
      <c r="G2" s="521"/>
      <c r="H2" s="522"/>
      <c r="I2" s="521"/>
      <c r="J2" s="6"/>
      <c r="K2" s="6"/>
      <c r="L2" s="6"/>
      <c r="M2" s="6"/>
      <c r="N2" s="6"/>
      <c r="O2" s="6"/>
      <c r="P2" s="6"/>
      <c r="Q2" s="6"/>
      <c r="R2" s="6"/>
    </row>
    <row r="3" spans="1:18">
      <c r="A3" s="6"/>
      <c r="B3" s="6"/>
      <c r="C3" s="6"/>
      <c r="D3" s="6"/>
      <c r="E3" s="521"/>
      <c r="F3" s="521"/>
      <c r="G3" s="521"/>
      <c r="H3" s="522"/>
      <c r="I3" s="521"/>
      <c r="J3" s="6"/>
      <c r="K3" s="6"/>
      <c r="L3" s="6"/>
      <c r="M3" s="6"/>
      <c r="N3" s="6"/>
      <c r="O3" s="6"/>
      <c r="P3" s="6"/>
      <c r="Q3" s="6"/>
      <c r="R3" s="6"/>
    </row>
    <row r="4" spans="1:18">
      <c r="A4" s="6"/>
      <c r="B4" s="6"/>
      <c r="C4" s="6"/>
      <c r="D4" s="6"/>
      <c r="E4" s="521"/>
      <c r="F4" s="521"/>
      <c r="G4" s="521"/>
      <c r="H4" s="522"/>
      <c r="I4" s="521"/>
      <c r="J4" s="6"/>
      <c r="K4" s="6"/>
      <c r="L4" s="6"/>
      <c r="M4" s="6"/>
      <c r="N4" s="6"/>
      <c r="O4" s="6"/>
      <c r="P4" s="6"/>
      <c r="Q4" s="6"/>
      <c r="R4" s="6"/>
    </row>
    <row r="5" spans="1:18">
      <c r="A5" s="6"/>
      <c r="B5" s="6"/>
      <c r="C5" s="6"/>
      <c r="D5" s="6"/>
      <c r="E5" s="521"/>
      <c r="F5" s="521"/>
      <c r="G5" s="521"/>
      <c r="H5" s="522"/>
      <c r="I5" s="521"/>
      <c r="J5" s="6"/>
      <c r="K5" s="6"/>
      <c r="L5" s="6"/>
      <c r="M5" s="6"/>
      <c r="N5" s="6"/>
      <c r="O5" s="6"/>
      <c r="P5" s="6"/>
      <c r="Q5" s="6"/>
      <c r="R5" s="6"/>
    </row>
    <row r="6" spans="1:18">
      <c r="A6" s="6"/>
      <c r="B6" s="6"/>
      <c r="C6" s="6"/>
      <c r="D6" s="6"/>
      <c r="E6" s="521"/>
      <c r="F6" s="521"/>
      <c r="G6" s="521"/>
      <c r="H6" s="522"/>
      <c r="I6" s="521"/>
      <c r="J6" s="6"/>
      <c r="K6" s="6"/>
      <c r="L6" s="6"/>
      <c r="M6" s="6"/>
      <c r="N6" s="6"/>
      <c r="O6" s="6"/>
      <c r="P6" s="6"/>
      <c r="Q6" s="6"/>
      <c r="R6" s="6"/>
    </row>
    <row r="7" spans="1:18">
      <c r="A7" s="6"/>
      <c r="B7" s="6"/>
      <c r="C7" s="6"/>
      <c r="D7" s="6"/>
      <c r="E7" s="521"/>
      <c r="F7" s="521"/>
      <c r="G7" s="521"/>
      <c r="H7" s="522"/>
      <c r="I7" s="521"/>
      <c r="J7" s="6"/>
      <c r="K7" s="6"/>
      <c r="L7" s="6"/>
      <c r="M7" s="6"/>
      <c r="N7" s="6"/>
      <c r="O7" s="6"/>
      <c r="P7" s="6"/>
      <c r="Q7" s="6"/>
      <c r="R7" s="6"/>
    </row>
    <row r="8" spans="1:18">
      <c r="A8" s="6"/>
      <c r="B8" s="6"/>
      <c r="C8" s="6"/>
      <c r="D8" s="6"/>
      <c r="E8" s="521"/>
      <c r="F8" s="521"/>
      <c r="G8" s="521"/>
      <c r="H8" s="522"/>
      <c r="I8" s="521"/>
      <c r="J8" s="6"/>
      <c r="K8" s="6"/>
      <c r="L8" s="6"/>
      <c r="M8" s="6"/>
      <c r="N8" s="6"/>
      <c r="O8" s="6"/>
      <c r="P8" s="6"/>
      <c r="Q8" s="6"/>
      <c r="R8" s="6"/>
    </row>
    <row r="9" spans="1:18">
      <c r="A9" s="6"/>
      <c r="B9" s="6"/>
      <c r="C9" s="6"/>
      <c r="D9" s="6"/>
      <c r="E9" s="521"/>
      <c r="F9" s="521"/>
      <c r="G9" s="521"/>
      <c r="H9" s="522"/>
      <c r="I9" s="521"/>
      <c r="J9" s="6"/>
      <c r="K9" s="6"/>
      <c r="L9" s="6"/>
      <c r="M9" s="6"/>
      <c r="N9" s="6"/>
      <c r="O9" s="6"/>
      <c r="P9" s="6"/>
      <c r="Q9" s="6"/>
      <c r="R9" s="6"/>
    </row>
    <row r="10" spans="1:18">
      <c r="A10" s="6"/>
      <c r="B10" s="6"/>
      <c r="C10" s="6"/>
      <c r="D10" s="6"/>
      <c r="E10" s="521"/>
      <c r="F10" s="521"/>
      <c r="G10" s="521"/>
      <c r="H10" s="522"/>
      <c r="I10" s="521"/>
      <c r="J10" s="6"/>
      <c r="K10" s="6"/>
      <c r="L10" s="6"/>
      <c r="M10" s="6"/>
      <c r="N10" s="6"/>
      <c r="O10" s="6"/>
      <c r="P10" s="6"/>
      <c r="Q10" s="6"/>
      <c r="R10" s="6"/>
    </row>
    <row r="11" spans="1:18">
      <c r="A11" s="6"/>
      <c r="B11" s="6"/>
      <c r="C11" s="6"/>
      <c r="D11" s="6"/>
      <c r="E11" s="521"/>
      <c r="F11" s="521"/>
      <c r="G11" s="521"/>
      <c r="H11" s="522"/>
      <c r="I11" s="521"/>
      <c r="J11" s="6"/>
      <c r="K11" s="6"/>
      <c r="L11" s="6"/>
      <c r="M11" s="6"/>
      <c r="N11" s="6"/>
      <c r="O11" s="6"/>
      <c r="P11" s="6"/>
      <c r="Q11" s="6"/>
      <c r="R11" s="6"/>
    </row>
    <row r="12" spans="1:18">
      <c r="A12" s="6"/>
      <c r="B12" s="6"/>
      <c r="C12" s="6"/>
      <c r="D12" s="6"/>
      <c r="E12" s="521"/>
      <c r="F12" s="521"/>
      <c r="G12" s="521"/>
      <c r="H12" s="522"/>
      <c r="I12" s="521"/>
      <c r="J12" s="6"/>
      <c r="K12" s="6"/>
      <c r="L12" s="6"/>
      <c r="M12" s="6"/>
      <c r="N12" s="6"/>
      <c r="O12" s="6"/>
      <c r="P12" s="6"/>
      <c r="Q12" s="6"/>
      <c r="R12" s="6"/>
    </row>
    <row r="13" spans="1:18">
      <c r="A13" s="6"/>
      <c r="B13" s="6"/>
      <c r="C13" s="6"/>
      <c r="D13" s="6"/>
      <c r="E13" s="521"/>
      <c r="F13" s="521"/>
      <c r="G13" s="521"/>
      <c r="H13" s="522"/>
      <c r="I13" s="521"/>
      <c r="J13" s="6"/>
      <c r="K13" s="6"/>
      <c r="L13" s="6"/>
      <c r="M13" s="6"/>
      <c r="N13" s="6"/>
      <c r="O13" s="6"/>
      <c r="P13" s="6"/>
      <c r="Q13" s="6"/>
      <c r="R13" s="6"/>
    </row>
    <row r="14" spans="1:18">
      <c r="A14" s="6"/>
      <c r="B14" s="6"/>
      <c r="C14" s="6"/>
      <c r="D14" s="6"/>
      <c r="E14" s="521"/>
      <c r="F14" s="521"/>
      <c r="G14" s="521"/>
      <c r="H14" s="522"/>
      <c r="I14" s="521"/>
      <c r="J14" s="6"/>
      <c r="K14" s="6"/>
      <c r="L14" s="6"/>
      <c r="M14" s="6"/>
      <c r="N14" s="6"/>
      <c r="O14" s="6"/>
      <c r="P14" s="6"/>
      <c r="Q14" s="6"/>
      <c r="R14" s="6"/>
    </row>
    <row r="15" spans="1:18">
      <c r="A15" s="6"/>
      <c r="B15" s="6"/>
      <c r="C15" s="6"/>
      <c r="D15" s="6"/>
      <c r="E15" s="521"/>
      <c r="F15" s="521"/>
      <c r="G15" s="521"/>
      <c r="H15" s="522"/>
      <c r="I15" s="521"/>
      <c r="J15" s="6"/>
      <c r="K15" s="6"/>
      <c r="L15" s="6"/>
      <c r="M15" s="6"/>
      <c r="N15" s="6"/>
      <c r="O15" s="6"/>
      <c r="P15" s="6"/>
      <c r="Q15" s="6"/>
      <c r="R15" s="6"/>
    </row>
    <row r="16" spans="1:18">
      <c r="A16" s="6"/>
      <c r="B16" s="6"/>
      <c r="C16" s="6"/>
      <c r="D16" s="6"/>
      <c r="E16" s="521"/>
      <c r="F16" s="521"/>
      <c r="G16" s="521"/>
      <c r="H16" s="522"/>
      <c r="I16" s="521"/>
      <c r="J16" s="6"/>
      <c r="K16" s="6"/>
      <c r="L16" s="6"/>
      <c r="M16" s="6"/>
      <c r="N16" s="6"/>
      <c r="O16" s="6"/>
      <c r="P16" s="6"/>
      <c r="Q16" s="6"/>
      <c r="R16" s="6"/>
    </row>
    <row r="17" spans="1:18">
      <c r="A17" s="6"/>
      <c r="B17" s="6"/>
      <c r="C17" s="6"/>
      <c r="D17" s="6"/>
      <c r="E17" s="521"/>
      <c r="F17" s="521"/>
      <c r="G17" s="521"/>
      <c r="H17" s="522"/>
      <c r="I17" s="521"/>
      <c r="J17" s="6"/>
      <c r="K17" s="6"/>
      <c r="L17" s="6"/>
      <c r="M17" s="6"/>
      <c r="N17" s="6"/>
      <c r="O17" s="6"/>
      <c r="P17" s="6"/>
      <c r="Q17" s="6"/>
      <c r="R17" s="6"/>
    </row>
    <row r="18" spans="1:18">
      <c r="A18" s="6"/>
      <c r="B18" s="6"/>
      <c r="C18" s="6"/>
      <c r="D18" s="6"/>
      <c r="E18" s="521"/>
      <c r="F18" s="521"/>
      <c r="G18" s="521"/>
      <c r="H18" s="522"/>
      <c r="I18" s="521"/>
      <c r="J18" s="6"/>
      <c r="K18" s="6"/>
      <c r="L18" s="6"/>
      <c r="M18" s="6"/>
      <c r="N18" s="6"/>
      <c r="O18" s="6"/>
      <c r="P18" s="6"/>
      <c r="Q18" s="6"/>
      <c r="R18" s="6"/>
    </row>
    <row r="19" spans="1:18">
      <c r="A19" s="6"/>
      <c r="B19" s="6"/>
      <c r="C19" s="6"/>
      <c r="D19" s="6"/>
      <c r="E19" s="521"/>
      <c r="F19" s="521"/>
      <c r="G19" s="521"/>
      <c r="H19" s="522"/>
      <c r="I19" s="521"/>
      <c r="J19" s="6"/>
      <c r="K19" s="6"/>
      <c r="L19" s="6"/>
      <c r="M19" s="6"/>
      <c r="N19" s="6"/>
      <c r="O19" s="6"/>
      <c r="P19" s="6"/>
      <c r="Q19" s="6"/>
      <c r="R19" s="6"/>
    </row>
    <row r="20" spans="1:18">
      <c r="A20" s="6"/>
      <c r="B20" s="6"/>
      <c r="C20" s="6"/>
      <c r="D20" s="6"/>
      <c r="E20" s="521"/>
      <c r="F20" s="521"/>
      <c r="G20" s="521"/>
      <c r="H20" s="522"/>
      <c r="I20" s="521"/>
      <c r="J20" s="6"/>
      <c r="K20" s="6"/>
      <c r="L20" s="6"/>
      <c r="M20" s="6"/>
      <c r="N20" s="6"/>
      <c r="O20" s="6"/>
      <c r="P20" s="6"/>
      <c r="Q20" s="6"/>
      <c r="R20" s="6"/>
    </row>
    <row r="21" spans="1:18">
      <c r="A21" s="6"/>
      <c r="B21" s="6"/>
      <c r="C21" s="6"/>
      <c r="D21" s="6"/>
      <c r="E21" s="521"/>
      <c r="F21" s="521"/>
      <c r="G21" s="521"/>
      <c r="H21" s="522"/>
      <c r="I21" s="521"/>
      <c r="J21" s="6"/>
      <c r="K21" s="6"/>
      <c r="L21" s="6"/>
      <c r="M21" s="6"/>
      <c r="N21" s="6"/>
      <c r="O21" s="6"/>
      <c r="P21" s="6"/>
      <c r="Q21" s="6"/>
      <c r="R21" s="6"/>
    </row>
    <row r="22" spans="1:18">
      <c r="A22" s="6"/>
      <c r="B22" s="6"/>
      <c r="C22" s="6"/>
      <c r="D22" s="6"/>
      <c r="E22" s="521"/>
      <c r="F22" s="521"/>
      <c r="G22" s="521"/>
      <c r="H22" s="522"/>
      <c r="I22" s="521"/>
      <c r="J22" s="6"/>
      <c r="K22" s="6"/>
      <c r="L22" s="6"/>
      <c r="M22" s="6"/>
      <c r="N22" s="6"/>
      <c r="O22" s="6"/>
      <c r="P22" s="6"/>
      <c r="Q22" s="6"/>
      <c r="R22" s="6"/>
    </row>
    <row r="23" spans="1:18">
      <c r="A23" s="6"/>
      <c r="B23" s="6"/>
      <c r="C23" s="6"/>
      <c r="D23" s="6"/>
      <c r="E23" s="521"/>
      <c r="F23" s="521"/>
      <c r="G23" s="521"/>
      <c r="H23" s="522"/>
      <c r="I23" s="521"/>
      <c r="J23" s="6"/>
      <c r="K23" s="6"/>
      <c r="L23" s="6"/>
      <c r="M23" s="6"/>
      <c r="N23" s="6"/>
      <c r="O23" s="6"/>
      <c r="P23" s="6"/>
      <c r="Q23" s="6"/>
      <c r="R23" s="6"/>
    </row>
    <row r="24" spans="1:18">
      <c r="A24" s="6"/>
      <c r="B24" s="6"/>
      <c r="C24" s="6"/>
      <c r="D24" s="6"/>
      <c r="E24" s="521"/>
      <c r="F24" s="521"/>
      <c r="G24" s="521"/>
      <c r="H24" s="522"/>
      <c r="I24" s="521"/>
      <c r="J24" s="6"/>
      <c r="K24" s="6"/>
      <c r="L24" s="6"/>
      <c r="M24" s="6"/>
      <c r="N24" s="6"/>
      <c r="O24" s="6"/>
      <c r="P24" s="6"/>
      <c r="Q24" s="6"/>
      <c r="R24" s="6"/>
    </row>
    <row r="25" spans="1:18">
      <c r="A25" s="6"/>
      <c r="B25" s="6"/>
      <c r="C25" s="6"/>
      <c r="D25" s="6"/>
      <c r="E25" s="521"/>
      <c r="F25" s="521"/>
      <c r="G25" s="521"/>
      <c r="H25" s="522"/>
      <c r="I25" s="521"/>
      <c r="J25" s="6"/>
      <c r="K25" s="6"/>
      <c r="L25" s="6"/>
      <c r="M25" s="6"/>
      <c r="N25" s="6"/>
      <c r="O25" s="6"/>
      <c r="P25" s="6"/>
      <c r="Q25" s="6"/>
      <c r="R25" s="6"/>
    </row>
    <row r="26" spans="1:18">
      <c r="A26" s="6"/>
      <c r="B26" s="6"/>
      <c r="C26" s="6"/>
      <c r="D26" s="6"/>
      <c r="E26" s="521"/>
      <c r="F26" s="521"/>
      <c r="G26" s="521"/>
      <c r="H26" s="522"/>
      <c r="I26" s="521"/>
      <c r="J26" s="6"/>
      <c r="K26" s="6"/>
      <c r="L26" s="6"/>
      <c r="M26" s="6"/>
      <c r="N26" s="6"/>
      <c r="O26" s="6"/>
      <c r="P26" s="6"/>
      <c r="Q26" s="6"/>
      <c r="R26" s="6"/>
    </row>
    <row r="27" spans="1:18">
      <c r="A27" s="6"/>
      <c r="B27" s="6"/>
      <c r="C27" s="6"/>
      <c r="D27" s="6"/>
      <c r="E27" s="521"/>
      <c r="F27" s="521"/>
      <c r="G27" s="521"/>
      <c r="H27" s="522"/>
      <c r="I27" s="521"/>
      <c r="J27" s="6"/>
      <c r="K27" s="6"/>
      <c r="L27" s="6"/>
      <c r="M27" s="6"/>
      <c r="N27" s="6"/>
      <c r="O27" s="6"/>
      <c r="P27" s="6"/>
      <c r="Q27" s="6"/>
      <c r="R27" s="6"/>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A22CA735C32F3840975C1ABE33FC00C5" ma:contentTypeVersion="24" ma:contentTypeDescription="" ma:contentTypeScope="" ma:versionID="db521e3f3878f8f4b253bb7cb427c39f">
  <xsd:schema xmlns:xsd="http://www.w3.org/2001/XMLSchema" xmlns:xs="http://www.w3.org/2001/XMLSchema" xmlns:p="http://schemas.microsoft.com/office/2006/metadata/properties" xmlns:ns3="3e02667f-0271-471b-bd6e-11a2e16def1d" xmlns:ns4="6385dc9c-8632-49e9-a791-b8d07731333e" xmlns:ns5="241e4cfd-0731-4eff-837c-45d1d997259a" targetNamespace="http://schemas.microsoft.com/office/2006/metadata/properties" ma:root="true" ma:fieldsID="ce26211dd01dcca5f1a0d14100d17089" ns3:_="" ns4:_="" ns5:_="">
    <xsd:import namespace="3e02667f-0271-471b-bd6e-11a2e16def1d"/>
    <xsd:import namespace="6385dc9c-8632-49e9-a791-b8d07731333e"/>
    <xsd:import namespace="241e4cfd-0731-4eff-837c-45d1d997259a"/>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5:MediaServiceMetadata" minOccurs="0"/>
                <xsd:element ref="ns5:MediaServiceFastMetadata" minOccurs="0"/>
                <xsd:element ref="ns4:ncd8676b6f874fb3b13498347bded7f2" minOccurs="0"/>
                <xsd:element ref="ns4:wb_unitowning" minOccurs="0"/>
                <xsd:element ref="ns4:wb_reportname" minOccurs="0"/>
                <xsd:element ref="ns3:wb_taskid" minOccurs="0"/>
                <xsd:element ref="ns3:wb_itemid" minOccurs="0"/>
                <xsd:element ref="ns5:MediaServiceAutoKeyPoints" minOccurs="0"/>
                <xsd:element ref="ns5:MediaServiceKeyPoints" minOccurs="0"/>
                <xsd:element ref="ns4:SharedWithUsers" minOccurs="0"/>
                <xsd:element ref="ns4:SharedWithDetails" minOccurs="0"/>
                <xsd:element ref="ns4:baab35ea0edf4f67bc6dbfa9e148ad9e" minOccurs="0"/>
                <xsd:element ref="ns4:wb_virtualcollection1" minOccurs="0"/>
                <xsd:element ref="ns5:MediaServiceAutoTags" minOccurs="0"/>
                <xsd:element ref="ns5:MediaServiceOCR" minOccurs="0"/>
                <xsd:element ref="ns5:MediaServiceGenerationTime" minOccurs="0"/>
                <xsd:element ref="ns5:MediaServiceEventHashCode" minOccurs="0"/>
                <xsd:element ref="ns4:WB_IDU_Comment" minOccurs="0"/>
                <xsd:element ref="ns5:MediaServiceDateTaken" minOccurs="0"/>
                <xsd:element ref="ns4:WB_Status_Folder" minOccurs="0"/>
                <xsd:element ref="ns5:lcf76f155ced4ddcb4097134ff3c332f" minOccurs="0"/>
                <xsd:element ref="ns5:MediaLengthInSeconds"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dexed="true"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format="Dropdown" ma:indexed="true" ma:internalName="wb_reportno">
      <xsd:simpleType>
        <xsd:restriction base="dms:Text">
          <xsd:maxLength value="255"/>
        </xsd:restriction>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101" nillable="true" ma:displayName="Task ID" ma:internalName="wb_taskid">
      <xsd:simpleType>
        <xsd:restriction base="dms:Note">
          <xsd:maxLength value="255"/>
        </xsd:restriction>
      </xsd:simpleType>
    </xsd:element>
    <xsd:element name="wb_itemid" ma:index="102"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Duplication (already disclosed earlier)"/>
          <xsd:enumeration value="2. Not Eligible for D&amp;R Collections"/>
          <xsd:enumeration value="3. Technical Issue"/>
          <xsd:enumeration value="4.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ternalName="wb_seriesname">
      <xsd:simpleType>
        <xsd:restriction base="dms:Text"/>
      </xsd:simpleType>
    </xsd:element>
    <xsd:element name="ncd8676b6f874fb3b13498347bded7f2" ma:index="97"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9" nillable="true" ma:displayName="Unit Owning / Responsible" ma:internalName="wb_unitowning0">
      <xsd:simpleType>
        <xsd:restriction base="dms:Text">
          <xsd:maxLength value="255"/>
        </xsd:restriction>
      </xsd:simpleType>
    </xsd:element>
    <xsd:element name="wb_reportname" ma:index="100" nillable="true" ma:displayName="Report Name" ma:internalName="wb_reportname">
      <xsd:simpleType>
        <xsd:restriction base="dms:Text">
          <xsd:maxLength value="255"/>
        </xsd:restriction>
      </xsd:simpleType>
    </xsd:element>
    <xsd:element name="SharedWithUsers" ma:index="10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6" nillable="true" ma:displayName="Shared With Details" ma:internalName="SharedWithDetails" ma:readOnly="true">
      <xsd:simpleType>
        <xsd:restriction base="dms:Note">
          <xsd:maxLength value="255"/>
        </xsd:restriction>
      </xsd:simpleType>
    </xsd:element>
    <xsd:element name="baab35ea0edf4f67bc6dbfa9e148ad9e" ma:index="107"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9" nillable="true" ma:displayName="Virtual Collection1" ma:internalName="wb_virtualcollection1">
      <xsd:simpleType>
        <xsd:restriction base="dms:Text">
          <xsd:maxLength value="255"/>
        </xsd:restriction>
      </xsd:simpleType>
    </xsd:element>
    <xsd:element name="WB_IDU_Comment" ma:index="114" nillable="true" ma:displayName="IDU Comment" ma:internalName="WB_IDU_Comment">
      <xsd:simpleType>
        <xsd:restriction base="dms:Note">
          <xsd:maxLength value="255"/>
        </xsd:restriction>
      </xsd:simpleType>
    </xsd:element>
    <xsd:element name="WB_Status_Folder" ma:index="116" nillable="true" ma:displayName="Folder" ma:indexed="true" ma:internalName="WB_Status_Fold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1e4cfd-0731-4eff-837c-45d1d997259a" elementFormDefault="qualified">
    <xsd:import namespace="http://schemas.microsoft.com/office/2006/documentManagement/types"/>
    <xsd:import namespace="http://schemas.microsoft.com/office/infopath/2007/PartnerControls"/>
    <xsd:element name="MediaServiceMetadata" ma:index="95" nillable="true" ma:displayName="MediaServiceMetadata" ma:hidden="true" ma:internalName="MediaServiceMetadata" ma:readOnly="true">
      <xsd:simpleType>
        <xsd:restriction base="dms:Note"/>
      </xsd:simpleType>
    </xsd:element>
    <xsd:element name="MediaServiceFastMetadata" ma:index="96" nillable="true" ma:displayName="MediaServiceFastMetadata" ma:hidden="true" ma:internalName="MediaServiceFastMetadata" ma:readOnly="true">
      <xsd:simpleType>
        <xsd:restriction base="dms:Note"/>
      </xsd:simpleType>
    </xsd:element>
    <xsd:element name="MediaServiceAutoKeyPoints" ma:index="103" nillable="true" ma:displayName="MediaServiceAutoKeyPoints" ma:hidden="true" ma:internalName="MediaServiceAutoKeyPoints" ma:readOnly="true">
      <xsd:simpleType>
        <xsd:restriction base="dms:Note"/>
      </xsd:simpleType>
    </xsd:element>
    <xsd:element name="MediaServiceKeyPoints" ma:index="104" nillable="true" ma:displayName="KeyPoints" ma:internalName="MediaServiceKeyPoints" ma:readOnly="true">
      <xsd:simpleType>
        <xsd:restriction base="dms:Note">
          <xsd:maxLength value="255"/>
        </xsd:restriction>
      </xsd:simpleType>
    </xsd:element>
    <xsd:element name="MediaServiceAutoTags" ma:index="110" nillable="true" ma:displayName="Tags" ma:internalName="MediaServiceAutoTags" ma:readOnly="true">
      <xsd:simpleType>
        <xsd:restriction base="dms:Text"/>
      </xsd:simpleType>
    </xsd:element>
    <xsd:element name="MediaServiceOCR" ma:index="111" nillable="true" ma:displayName="Extracted Text" ma:internalName="MediaServiceOCR" ma:readOnly="true">
      <xsd:simpleType>
        <xsd:restriction base="dms:Note">
          <xsd:maxLength value="255"/>
        </xsd:restriction>
      </xsd:simpleType>
    </xsd:element>
    <xsd:element name="MediaServiceGenerationTime" ma:index="112" nillable="true" ma:displayName="MediaServiceGenerationTime" ma:hidden="true" ma:internalName="MediaServiceGenerationTime" ma:readOnly="true">
      <xsd:simpleType>
        <xsd:restriction base="dms:Text"/>
      </xsd:simpleType>
    </xsd:element>
    <xsd:element name="MediaServiceEventHashCode" ma:index="113" nillable="true" ma:displayName="MediaServiceEventHashCode" ma:hidden="true" ma:internalName="MediaServiceEventHashCode" ma:readOnly="true">
      <xsd:simpleType>
        <xsd:restriction base="dms:Text"/>
      </xsd:simpleType>
    </xsd:element>
    <xsd:element name="MediaServiceDateTaken" ma:index="115" nillable="true" ma:displayName="MediaServiceDateTaken" ma:hidden="true" ma:internalName="MediaServiceDateTaken" ma:readOnly="true">
      <xsd:simpleType>
        <xsd:restriction base="dms:Text"/>
      </xsd:simpleType>
    </xsd:element>
    <xsd:element name="lcf76f155ced4ddcb4097134ff3c332f" ma:index="118"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119" nillable="true" ma:displayName="MediaLengthInSeconds" ma:hidden="true" ma:internalName="MediaLengthInSeconds" ma:readOnly="true">
      <xsd:simpleType>
        <xsd:restriction base="dms:Unknown"/>
      </xsd:simpleType>
    </xsd:element>
    <xsd:element name="MediaServiceObjectDetectorVersions" ma:index="1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bstract xmlns="3e02667f-0271-471b-bd6e-11a2e16def1d" xsi:nil="true"/>
    <o1cb080a3dca4eb8a0fd03c7cc8bf8f7 xmlns="3e02667f-0271-471b-bd6e-11a2e16def1d">
      <Terms xmlns="http://schemas.microsoft.com/office/infopath/2007/PartnerControls"/>
    </o1cb080a3dca4eb8a0fd03c7cc8bf8f7>
    <wb_externalwebdecision xmlns="3e02667f-0271-471b-bd6e-11a2e16def1d">Yes</wb_externalwebdecision>
    <wb_ibflag xmlns="3e02667f-0271-471b-bd6e-11a2e16def1d">Review</wb_ibflag>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externalwebdate xmlns="3e02667f-0271-471b-bd6e-11a2e16def1d">2023-07-13T05:03:00+00:00</wb_externalwebdate>
    <wb_loanid xmlns="3e02667f-0271-471b-bd6e-11a2e16def1d" xsi:nil="true"/>
    <wb_externalpublic xmlns="3e02667f-0271-471b-bd6e-11a2e16def1d">false</wb_externalpublic>
    <wb_cttype xmlns="3e02667f-0271-471b-bd6e-11a2e16def1d">MAIN</wb_cttype>
    <wb_filename xmlns="3e02667f-0271-471b-bd6e-11a2e16def1d">examples_managing_sovereign_loans.xlsx</wb_filename>
    <wb_projectid xmlns="3e02667f-0271-471b-bd6e-11a2e16def1d">P174947</wb_projectid>
    <wb_aicomments xmlns="3e02667f-0271-471b-bd6e-11a2e16def1d">Disclosed by Andre Proite on 07/12/23</wb_aicomments>
    <wb_realmodifydate xmlns="3e02667f-0271-471b-bd6e-11a2e16def1d" xsi:nil="true"/>
    <wb_topic xmlns="3e02667f-0271-471b-bd6e-11a2e16def1d" xsi:nil="true"/>
    <wb_disclosuredate xmlns="3e02667f-0271-471b-bd6e-11a2e16def1d">2023-07-13T05:03:00+00:00</wb_disclosuredate>
    <wb_reportno xmlns="3e02667f-0271-471b-bd6e-11a2e16def1d">184015</wb_reportno>
    <wb_ibtopic xmlns="3e02667f-0271-471b-bd6e-11a2e16def1d" xsi:nil="true"/>
    <wb_ibtopiclegacy xmlns="3e02667f-0271-471b-bd6e-11a2e16def1d" xsi:nil="true"/>
    <wb_realmodifier xmlns="3e02667f-0271-471b-bd6e-11a2e16def1d"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disclosurestatus xmlns="3e02667f-0271-471b-bd6e-11a2e16def1d">Disclosed</wb_disclosurestatus>
    <wb_externalpublishedlink xmlns="3e02667f-0271-471b-bd6e-11a2e16def1d" xsi:nil="true"/>
    <WBDocs_Access_To_Info_Exception xmlns="3e02667f-0271-471b-bd6e-11a2e16def1d" xsi:nil="true"/>
    <WBDocs_Document_Date xmlns="3e02667f-0271-471b-bd6e-11a2e16def1d">2023-07-13T12:30:00+00:00</WBDocs_Document_Date>
    <wb_description xmlns="3e02667f-0271-471b-bd6e-11a2e16def1d" xsi:nil="true"/>
    <wb_keyword xmlns="3e02667f-0271-471b-bd6e-11a2e16def1d" xsi:nil="true"/>
    <TaxCatchAll xmlns="3e02667f-0271-471b-bd6e-11a2e16def1d">
      <Value>1426</Value>
      <Value>1645</Value>
      <Value>10</Value>
      <Value>7</Value>
      <Value>1534</Value>
      <Value>1804</Value>
      <Value>1</Value>
      <Value>2805</Value>
    </TaxCatchAll>
    <wb_ibtopiccode xmlns="3e02667f-0271-471b-bd6e-11a2e16def1d" xsi:nil="true"/>
    <OneCMS_Subcategory xmlns="3e02667f-0271-471b-bd6e-11a2e16def1d" xsi:nil="true"/>
    <wb_trustfundcode xmlns="3e02667f-0271-471b-bd6e-11a2e16def1d" xsi:nil="true"/>
    <wb_realcreatornam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itemid xmlns="3e02667f-0271-471b-bd6e-11a2e16def1d">ITM00270</wb_itemid>
    <i008215bacac45029ee8cafff4c8e93b xmlns="3e02667f-0271-471b-bd6e-11a2e16def1d">
      <Terms xmlns="http://schemas.microsoft.com/office/infopath/2007/PartnerControls"/>
    </i008215bacac45029ee8cafff4c8e93b>
    <g5db487b699641c994752f446908f645 xmlns="3e02667f-0271-471b-bd6e-11a2e16def1d">
      <Terms xmlns="http://schemas.microsoft.com/office/infopath/2007/PartnerControls"/>
    </g5db487b699641c994752f446908f645>
    <wb_publicapprover xmlns="3e02667f-0271-471b-bd6e-11a2e16def1d">
      <UserInfo>
        <DisplayName>Andre Proite</DisplayName>
        <AccountId>1998</AccountId>
        <AccountType/>
      </UserInfo>
    </wb_publicapprover>
    <wb_filingapplication xmlns="3e02667f-0271-471b-bd6e-11a2e16def1d">OPS2DATASHEET</wb_filingapplication>
    <wb_ioparentid xmlns="3e02667f-0271-471b-bd6e-11a2e16def1d" xsi:nil="true"/>
    <WBDocs_Information_Classification xmlns="3e02667f-0271-471b-bd6e-11a2e16def1d">Public</WBDocs_Information_Classification>
    <wb_taskid xmlns="3e02667f-0271-471b-bd6e-11a2e16def1d">DLV0567925</wb_taskid>
    <OneCMS_Category xmlns="3e02667f-0271-471b-bd6e-11a2e16def1d" xsi:nil="true"/>
    <_dlc_DocId xmlns="3e02667f-0271-471b-bd6e-11a2e16def1d">EQEJ7SXF6RQE-700360881-116</_dlc_DocId>
    <_dlc_DocIdUrl xmlns="3e02667f-0271-471b-bd6e-11a2e16def1d">
      <Url>https://worldbankgroup.sharepoint.com/sites/P174947/_layouts/15/DocIdRedir.aspx?ID=EQEJ7SXF6RQE-700360881-116</Url>
      <Description>EQEJ7SXF6RQE-700360881-116</Description>
    </_dlc_DocIdUrl>
    <wb_subfolder xmlns="3e02667f-0271-471b-bd6e-11a2e16def1d">Project</wb_subfolder>
    <wb_additionalkeywords xmlns="6385dc9c-8632-49e9-a791-b8d07731333e" xsi:nil="true"/>
    <wb_issn xmlns="6385dc9c-8632-49e9-a791-b8d07731333e" xsi:nil="true"/>
    <wb_placeofproduction xmlns="6385dc9c-8632-49e9-a791-b8d07731333e">Washington, D.C. : World Bank Group</wb_placeofproduction>
    <wb_postboardwatermark xmlns="6385dc9c-8632-49e9-a791-b8d07731333e" xsi:nil="true"/>
    <wb_relatedcontentholddiscussdemotelater xmlns="6385dc9c-8632-49e9-a791-b8d07731333e" xsi:nil="true"/>
    <wb_abstract xmlns="6385dc9c-8632-49e9-a791-b8d07731333e">The objective of this note is to provide guidance for countries on how to manage contractual debt. It describes the steps necessary to manage debt after the loan becomes effective (or even during the negotiation’s final stages) and until the contract is serviced and closed. These steps include identifying the key components of a debt contract that are needed to accurately service the debt, with a focus on recording and monitoring events that impact cash flows. International Finance Institutions (IFIs) offer relatively similar financing products for developing countries; however, contracts may also be specific and may be tailored to meet the cash flows of the debtor. IFI loans have evolved significantly over the last 20 years, from very rigid structures to more flexible options that have choices in terms of currency, type of interest rate, amortization profile, among others. As this flexibility has increased, so too has the complexity for debt recording: meticulous recording and monitoring must capture all events that impact debt cash flows, a prerequisite for quality debt reporting. Evidence shows challenges in relation to debt recording and reporting. The main causes are: (i) poor understanding of loan terms and conditions; (ii) failure to capture the events that affect the outstanding debt and redemption profile; (iii) miscomputation of these events. Many countries have revealed that debt has been serviced based only on creditor invoices, instead of relying on their own checks and controls. Debt systems manuals, when available, may show how to navigate applications but do not describe how debt cash flows should be computed.</wb_abstract>
    <wb_alternatetitle xmlns="6385dc9c-8632-49e9-a791-b8d07731333e" xsi:nil="true"/>
    <wb_volumenumber xmlns="6385dc9c-8632-49e9-a791-b8d07731333e">1</wb_volumenumber>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Debt</TermName>
          <TermId xmlns="http://schemas.microsoft.com/office/infopath/2007/PartnerControls">01759cee-9726-497c-bd9d-3f4f17745795</TermId>
        </TermInfo>
        <TermInfo xmlns="http://schemas.microsoft.com/office/infopath/2007/PartnerControls">
          <TermName xmlns="http://schemas.microsoft.com/office/infopath/2007/PartnerControls">Debt and Fiscal Sustainability</TermName>
          <TermId xmlns="http://schemas.microsoft.com/office/infopath/2007/PartnerControls">a754ab8d-794e-4416-bad0-fe15b0281c1f</TermId>
        </TermInfo>
        <TermInfo xmlns="http://schemas.microsoft.com/office/infopath/2007/PartnerControls">
          <TermName xmlns="http://schemas.microsoft.com/office/infopath/2007/PartnerControls">Access to Finance</TermName>
          <TermId xmlns="http://schemas.microsoft.com/office/infopath/2007/PartnerControls">83a312cd-6c34-4499-98b6-0e481d9ab723</TermId>
        </TermInfo>
        <TermInfo xmlns="http://schemas.microsoft.com/office/infopath/2007/PartnerControls">
          <TermName xmlns="http://schemas.microsoft.com/office/infopath/2007/PartnerControls">Loans and Guarantees</TermName>
          <TermId xmlns="http://schemas.microsoft.com/office/infopath/2007/PartnerControls">936863a9-72a5-4d90-8e37-3a645f9ddc21</TermId>
        </TermInfo>
      </Terms>
    </baab35ea0edf4f67bc6dbfa9e148ad9e>
    <wb_rejectioncomments xmlns="6385dc9c-8632-49e9-a791-b8d07731333e" xsi:nil="true"/>
    <wb_ttlnotification xmlns="6385dc9c-8632-49e9-a791-b8d07731333e" xsi:nil="true"/>
    <wb_meetingdate xmlns="3e02667f-0271-471b-bd6e-11a2e16def1d" xsi:nil="true"/>
    <wb_unitowning xmlns="6385dc9c-8632-49e9-a791-b8d07731333e">EMFMD</wb_unitowning>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wbdocsid xmlns="3e02667f-0271-471b-bd6e-11a2e16def1d" xsi:nil="true"/>
    <wb_documentcomments xmlns="6385dc9c-8632-49e9-a791-b8d07731333e" xsi:nil="true"/>
    <WB_Status_Folder xmlns="6385dc9c-8632-49e9-a791-b8d07731333e">Released</WB_Status_Folder>
    <wb_boarddocumentnumber xmlns="3e02667f-0271-471b-bd6e-11a2e16def1d" xsi:nil="true"/>
    <wb_boardmeetingdate xmlns="6385dc9c-8632-49e9-a791-b8d07731333e" xsi:nil="true"/>
    <wb_rejectionreason xmlns="6385dc9c-8632-49e9-a791-b8d07731333e" xsi:nil="true"/>
    <wb_seriesname xmlns="6385dc9c-8632-49e9-a791-b8d07731333e" xsi:nil="true"/>
    <wb_reportname xmlns="6385dc9c-8632-49e9-a791-b8d07731333e" xsi:nil="true"/>
    <wb_ibcountry xmlns="6385dc9c-8632-49e9-a791-b8d07731333e">World</wb_ibcountry>
    <wb_isbn xmlns="6385dc9c-8632-49e9-a791-b8d07731333e" xsi:nil="true"/>
    <wb_versiontype xmlns="6385dc9c-8632-49e9-a791-b8d07731333e">Final</wb_versiontype>
    <lcf76f155ced4ddcb4097134ff3c332f xmlns="241e4cfd-0731-4eff-837c-45d1d997259a">
      <Terms xmlns="http://schemas.microsoft.com/office/infopath/2007/PartnerControls"/>
    </lcf76f155ced4ddcb4097134ff3c332f>
    <wb_digitalobjectidentifier xmlns="6385dc9c-8632-49e9-a791-b8d07731333e" xsi:nil="true"/>
    <wb_projectname xmlns="6385dc9c-8632-49e9-a791-b8d07731333e">DMF III Knowledge Products</wb_projectname>
    <wb_boardmeetingtype xmlns="3e02667f-0271-471b-bd6e-11a2e16def1d" xsi:nil="true"/>
    <wb_closingdateboard xmlns="6385dc9c-8632-49e9-a791-b8d07731333e" xsi:nil="true"/>
    <wb_ppcode xmlns="6385dc9c-8632-49e9-a791-b8d07731333e" xsi:nil="true"/>
    <wb_relateddatasethold xmlns="6385dc9c-8632-49e9-a791-b8d07731333e" xsi:nil="true"/>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 xsi:nil="true"/>
    <SharedWithUsers xmlns="6385dc9c-8632-49e9-a791-b8d07731333e">
      <UserInfo>
        <DisplayName>opsportalprdserviceaccount</DisplayName>
        <AccountId>39</AccountId>
        <AccountType/>
      </UserInfo>
      <UserInfo>
        <DisplayName>PDS Managers</DisplayName>
        <AccountId>37</AccountId>
        <AccountType/>
      </UserInfo>
      <UserInfo>
        <DisplayName>IDU Quality Control</DisplayName>
        <AccountId>38</AccountId>
        <AccountType/>
      </UserInfo>
    </SharedWithUsers>
  </documentManagement>
</p:properties>
</file>

<file path=customXml/item4.xml><?xml version="1.0" encoding="utf-8"?>
<?mso-contentType ?>
<spe:Receivers xmlns:spe="http://schemas.microsoft.com/sharepoint/events"/>
</file>

<file path=customXml/item5.xml><?xml version="1.0" encoding="utf-8"?>
<?mso-contentType ?>
<SharedContentType xmlns="Microsoft.SharePoint.Taxonomy.ContentTypeSync" SourceId="2a6c10d7-b926-4fc0-945e-3cbf5049f6bd" ContentTypeId="0x010100F4C63C3BD852AE468EAEFD0E6C57C64F02" PreviousValue="false"/>
</file>

<file path=customXml/itemProps1.xml><?xml version="1.0" encoding="utf-8"?>
<ds:datastoreItem xmlns:ds="http://schemas.openxmlformats.org/officeDocument/2006/customXml" ds:itemID="{C1B47544-CB90-41CA-A7CA-D7E6A606ED63}"/>
</file>

<file path=customXml/itemProps2.xml><?xml version="1.0" encoding="utf-8"?>
<ds:datastoreItem xmlns:ds="http://schemas.openxmlformats.org/officeDocument/2006/customXml" ds:itemID="{A0A1C6F9-95C9-4818-8729-9C5BE298760B}"/>
</file>

<file path=customXml/itemProps3.xml><?xml version="1.0" encoding="utf-8"?>
<ds:datastoreItem xmlns:ds="http://schemas.openxmlformats.org/officeDocument/2006/customXml" ds:itemID="{DBD86826-4E41-4A5F-A806-FF8B5AFB47A7}"/>
</file>

<file path=customXml/itemProps4.xml><?xml version="1.0" encoding="utf-8"?>
<ds:datastoreItem xmlns:ds="http://schemas.openxmlformats.org/officeDocument/2006/customXml" ds:itemID="{FF0026D6-40A5-456A-9BAE-759B07BF1BF3}"/>
</file>

<file path=customXml/itemProps5.xml><?xml version="1.0" encoding="utf-8"?>
<ds:datastoreItem xmlns:ds="http://schemas.openxmlformats.org/officeDocument/2006/customXml" ds:itemID="{14391523-6229-4415-B0BE-EFA23D227A0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vt:i4>
      </vt:variant>
    </vt:vector>
  </HeadingPairs>
  <TitlesOfParts>
    <vt:vector size="17" baseType="lpstr">
      <vt:lpstr>Index</vt:lpstr>
      <vt:lpstr>Box 1</vt:lpstr>
      <vt:lpstr>Box 2</vt:lpstr>
      <vt:lpstr>Box 3</vt:lpstr>
      <vt:lpstr>Box 4</vt:lpstr>
      <vt:lpstr>Box 5</vt:lpstr>
      <vt:lpstr>Box 6</vt:lpstr>
      <vt:lpstr>Box 7</vt:lpstr>
      <vt:lpstr>Box 8</vt:lpstr>
      <vt:lpstr>Box 9</vt:lpstr>
      <vt:lpstr>Box 10</vt:lpstr>
      <vt:lpstr>Box 11</vt:lpstr>
      <vt:lpstr>Box 12</vt:lpstr>
      <vt:lpstr>Box 13</vt:lpstr>
      <vt:lpstr>Box 14</vt:lpstr>
      <vt:lpstr>Box 15</vt:lpstr>
      <vt:lpstr>'Box 10'!_Toc129097332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Managing Sovereign Loans : A Bottom-up Approach - Cash Flow Computations</dc:title>
  <dc:subject/>
  <dc:creator>Andre Proite;Marcelo Vitorino</dc:creator>
  <cp:keywords/>
  <dc:description/>
  <cp:lastModifiedBy>Andre Proite</cp:lastModifiedBy>
  <cp:revision/>
  <dcterms:created xsi:type="dcterms:W3CDTF">2020-05-19T20:18:25Z</dcterms:created>
  <dcterms:modified xsi:type="dcterms:W3CDTF">2023-07-05T08:34:37Z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0x010100F4C63C3BD852AE468EAEFD0E6C57C64F02002C8D7C9E701E8444AAD7038E9E130DC000A22CA735C32F3840975C1ABE33FC00C5</vt:lpwstr>
  </property>
  <property fmtid="{D5CDD505-2E9C-101B-9397-08002B2CF9AE}" pid="7" name="WbDocsObjectId">
    <vt:lpwstr/>
  </property>
  <property fmtid="{D5CDD505-2E9C-101B-9397-08002B2CF9AE}" pid="8" name="RatedBy">
    <vt:lpwstr/>
  </property>
  <property fmtid="{D5CDD505-2E9C-101B-9397-08002B2CF9AE}" pid="9" name="IsDocumentTagged">
    <vt:lpwstr/>
  </property>
  <property fmtid="{D5CDD505-2E9C-101B-9397-08002B2CF9AE}" pid="11" name="LikedBy">
    <vt:lpwstr/>
  </property>
  <property fmtid="{D5CDD505-2E9C-101B-9397-08002B2CF9AE}" pid="12" name="fbe16eaccf4749f086104f7c67297f76">
    <vt:lpwstr>World Bank|bc205cc9-8a56-48a3-9f30-b099e7707c1b</vt:lpwstr>
  </property>
  <property fmtid="{D5CDD505-2E9C-101B-9397-08002B2CF9AE}" pid="13" name="g60ac5c7cc5e48988332aa7f3f7675f4">
    <vt:lpwstr>World|181f87ec-6d12-43c8-9f7a-dc47bc14aa64</vt:lpwstr>
  </property>
  <property fmtid="{D5CDD505-2E9C-101B-9397-08002B2CF9AE}" pid="14" name="le7312e839b9405fb813e48a1ee083cb">
    <vt:lpwstr>English|e31af5d6-94ea-4ba5-925e-022fd8479dfd</vt:lpwstr>
  </property>
  <property fmtid="{D5CDD505-2E9C-101B-9397-08002B2CF9AE}" pid="15" name="n3588c81c2504f79a2ae07b8fc872de1">
    <vt:lpwstr>Official Use Only|4119b812-446b-4199-aebc-580c95bfd42a</vt:lpwstr>
  </property>
  <property fmtid="{D5CDD505-2E9C-101B-9397-08002B2CF9AE}" pid="16" name="f6836c8cfc5146d888b8918e85fd4b0e">
    <vt:lpwstr>World|181f87ec-6d12-43c8-9f7a-dc47bc14aa64</vt:lpwstr>
  </property>
  <property fmtid="{D5CDD505-2E9C-101B-9397-08002B2CF9AE}" pid="17" name="WBDocs_Originating_Unit">
    <vt:lpwstr/>
  </property>
  <property fmtid="{D5CDD505-2E9C-101B-9397-08002B2CF9AE}" pid="18" name="_dlc_DocIdItemGuid">
    <vt:lpwstr>3037b74a-a7e3-40d4-8efd-a99323c14f90</vt:lpwstr>
  </property>
  <property fmtid="{D5CDD505-2E9C-101B-9397-08002B2CF9AE}" pid="19" name="TaxKeyword">
    <vt:lpwstr/>
  </property>
  <property fmtid="{D5CDD505-2E9C-101B-9397-08002B2CF9AE}" pid="21" name="Region">
    <vt:lpwstr>4;#World|181f87ec-6d12-43c8-9f7a-dc47bc14aa64</vt:lpwstr>
  </property>
  <property fmtid="{D5CDD505-2E9C-101B-9397-08002B2CF9AE}" pid="22" name="m30f5f85ad26449189da578bd9e06217">
    <vt:lpwstr/>
  </property>
  <property fmtid="{D5CDD505-2E9C-101B-9397-08002B2CF9AE}" pid="23" name="BusinessFunctions">
    <vt:lpwstr/>
  </property>
  <property fmtid="{D5CDD505-2E9C-101B-9397-08002B2CF9AE}" pid="25" name="ncc44d6e437c4ee18d4e35566604faa7">
    <vt:lpwstr/>
  </property>
  <property fmtid="{D5CDD505-2E9C-101B-9397-08002B2CF9AE}" pid="26" name="InternalSponsor">
    <vt:lpwstr/>
  </property>
  <property fmtid="{D5CDD505-2E9C-101B-9397-08002B2CF9AE}" pid="27" name="GeographicArea">
    <vt:lpwstr>4;#World|181f87ec-6d12-43c8-9f7a-dc47bc14aa64</vt:lpwstr>
  </property>
  <property fmtid="{D5CDD505-2E9C-101B-9397-08002B2CF9AE}" pid="31" name="ExternalSponsor">
    <vt:lpwstr/>
  </property>
  <property fmtid="{D5CDD505-2E9C-101B-9397-08002B2CF9AE}" pid="32" name="o8e900f321d24bb18bb65b4f51774acf">
    <vt:lpwstr/>
  </property>
  <property fmtid="{D5CDD505-2E9C-101B-9397-08002B2CF9AE}" pid="33" name="InformationClassification">
    <vt:lpwstr>1;#Official Use Only|4119b812-446b-4199-aebc-580c95bfd42a</vt:lpwstr>
  </property>
  <property fmtid="{D5CDD505-2E9C-101B-9397-08002B2CF9AE}" pid="34" name="e7fed2b567784b7fb4115fec76c3b6ef">
    <vt:lpwstr/>
  </property>
  <property fmtid="{D5CDD505-2E9C-101B-9397-08002B2CF9AE}" pid="36" name="wb_country">
    <vt:lpwstr/>
  </property>
  <property fmtid="{D5CDD505-2E9C-101B-9397-08002B2CF9AE}" pid="38" name="Country">
    <vt:lpwstr/>
  </property>
  <property fmtid="{D5CDD505-2E9C-101B-9397-08002B2CF9AE}" pid="39" name="Organization">
    <vt:lpwstr>3;#World Bank|bc205cc9-8a56-48a3-9f30-b099e7707c1b</vt:lpwstr>
  </property>
  <property fmtid="{D5CDD505-2E9C-101B-9397-08002B2CF9AE}" pid="41" name="VPU">
    <vt:lpwstr/>
  </property>
  <property fmtid="{D5CDD505-2E9C-101B-9397-08002B2CF9AE}" pid="42" name="DocumentType">
    <vt:lpwstr/>
  </property>
  <property fmtid="{D5CDD505-2E9C-101B-9397-08002B2CF9AE}" pid="43" name="h40645383bce4db190f92f65d69cf557">
    <vt:lpwstr/>
  </property>
  <property fmtid="{D5CDD505-2E9C-101B-9397-08002B2CF9AE}" pid="44" name="e0919e4a962d4c1aa34dcc9ee85a7530">
    <vt:lpwstr/>
  </property>
  <property fmtid="{D5CDD505-2E9C-101B-9397-08002B2CF9AE}" pid="45" name="Topics">
    <vt:lpwstr/>
  </property>
  <property fmtid="{D5CDD505-2E9C-101B-9397-08002B2CF9AE}" pid="46" name="Languages">
    <vt:lpwstr>2;#English|e31af5d6-94ea-4ba5-925e-022fd8479dfd</vt:lpwstr>
  </property>
  <property fmtid="{D5CDD505-2E9C-101B-9397-08002B2CF9AE}" pid="47" name="g24ce987e2a14cd88b1be8bba67dc4d6">
    <vt:lpwstr/>
  </property>
  <property fmtid="{D5CDD505-2E9C-101B-9397-08002B2CF9AE}" pid="48" name="wb_language">
    <vt:lpwstr>7;#English|832426d7-d0f8-4cc5-a5f1-7b89f69e8f78</vt:lpwstr>
  </property>
  <property fmtid="{D5CDD505-2E9C-101B-9397-08002B2CF9AE}" pid="49" name="WBDocs_Local_Document_Type">
    <vt:lpwstr/>
  </property>
  <property fmtid="{D5CDD505-2E9C-101B-9397-08002B2CF9AE}" pid="51" name="TaxKeywordTaxHTField">
    <vt:lpwstr/>
  </property>
  <property fmtid="{D5CDD505-2E9C-101B-9397-08002B2CF9AE}" pid="58" name="SharedWithUsers">
    <vt:lpwstr>39;#opsportalprdserviceaccount;#37;#PDS Managers;#38;#IDU Quality Control</vt:lpwstr>
  </property>
  <property fmtid="{D5CDD505-2E9C-101B-9397-08002B2CF9AE}" pid="59" name="DocumentSetDescription">
    <vt:lpwstr/>
  </property>
  <property fmtid="{D5CDD505-2E9C-101B-9397-08002B2CF9AE}" pid="60" name="_SourceUrl">
    <vt:lpwstr/>
  </property>
  <property fmtid="{D5CDD505-2E9C-101B-9397-08002B2CF9AE}" pid="61" name="WBDocs_To">
    <vt:lpwstr/>
  </property>
  <property fmtid="{D5CDD505-2E9C-101B-9397-08002B2CF9AE}" pid="63" name="WBDocs_Cc">
    <vt:lpwstr/>
  </property>
  <property fmtid="{D5CDD505-2E9C-101B-9397-08002B2CF9AE}" pid="64" name="wb_bankgroupinstitution">
    <vt:lpwstr>10;#IBRD|04371005-de81-4a1e-9b50-038cc9ef25c4</vt:lpwstr>
  </property>
  <property fmtid="{D5CDD505-2E9C-101B-9397-08002B2CF9AE}" pid="65" name="h3c32e242b704477b7d70acf46e958ea">
    <vt:lpwstr/>
  </property>
  <property fmtid="{D5CDD505-2E9C-101B-9397-08002B2CF9AE}" pid="66" name="wb_unitowning">
    <vt:lpwstr/>
  </property>
  <property fmtid="{D5CDD505-2E9C-101B-9397-08002B2CF9AE}" pid="67" name="_CopySource">
    <vt:lpwstr>https://worldbankgroup.sharepoint.com/sites/P174947/Shared Documents/Project/examples_managing_sovereign_loans.xlsx</vt:lpwstr>
  </property>
  <property fmtid="{D5CDD505-2E9C-101B-9397-08002B2CF9AE}" pid="68" name="wb_virtualcollection">
    <vt:lpwstr/>
  </property>
  <property fmtid="{D5CDD505-2E9C-101B-9397-08002B2CF9AE}" pid="69" name="wb_ibtopic1">
    <vt:lpwstr>1426;#Debt|01759cee-9726-497c-bd9d-3f4f17745795;#1804;#Debt and Fiscal Sustainability|a754ab8d-794e-4416-bad0-fe15b0281c1f;#1645;#Access to Finance|83a312cd-6c34-4499-98b6-0e481d9ab723;#2805;#Loans and Guarantees|936863a9-72a5-4d90-8e37-3a645f9ddc21</vt:lpwstr>
  </property>
  <property fmtid="{D5CDD505-2E9C-101B-9397-08002B2CF9AE}" pid="70" name="Order">
    <vt:r8>11600</vt:r8>
  </property>
  <property fmtid="{D5CDD505-2E9C-101B-9397-08002B2CF9AE}" pid="71" name="wb_iblocaldocumenttype">
    <vt:lpwstr>1534;#Report|99fc2e78-ee98-4335-9e41-5c3d226f3ce7</vt:lpwstr>
  </property>
  <property fmtid="{D5CDD505-2E9C-101B-9397-08002B2CF9AE}" pid="72" name="xd_ProgID">
    <vt:lpwstr/>
  </property>
  <property fmtid="{D5CDD505-2E9C-101B-9397-08002B2CF9AE}" pid="73" name="MediaServiceImageTags">
    <vt:lpwstr/>
  </property>
  <property fmtid="{D5CDD505-2E9C-101B-9397-08002B2CF9AE}" pid="74" name="_SharedFileIndex">
    <vt:lpwstr/>
  </property>
  <property fmtid="{D5CDD505-2E9C-101B-9397-08002B2CF9AE}" pid="75" name="TemplateUrl">
    <vt:lpwstr/>
  </property>
  <property fmtid="{D5CDD505-2E9C-101B-9397-08002B2CF9AE}" pid="76" name="_ExtendedDescription">
    <vt:lpwstr/>
  </property>
</Properties>
</file>